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Sabrina\ДОКУМЕНТЫ ПРИХОД-ОТХОД\РОССИЯ\АСТРАХАНЬ\ОТХОД\"/>
    </mc:Choice>
  </mc:AlternateContent>
  <bookViews>
    <workbookView xWindow="120" yWindow="90" windowWidth="8475" windowHeight="6150" tabRatio="711"/>
  </bookViews>
  <sheets>
    <sheet name="DATA IN PUT" sheetId="7" r:id="rId1"/>
    <sheet name="DATA OUT" sheetId="1" r:id="rId2"/>
    <sheet name="GZ CURVE" sheetId="2" r:id="rId3"/>
    <sheet name="CARGO PLAN" sheetId="8" r:id="rId4"/>
    <sheet name="Hydrostatic Table" sheetId="4" r:id="rId5"/>
    <sheet name="KN TABLE" sheetId="5" r:id="rId6"/>
    <sheet name="Calc" sheetId="6" r:id="rId7"/>
    <sheet name="Sounding table" sheetId="3" r:id="rId8"/>
  </sheets>
  <externalReferences>
    <externalReference r:id="rId9"/>
  </externalReferences>
  <definedNames>
    <definedName name="_LCF1">#REF!</definedName>
    <definedName name="_LCF2">#REF!</definedName>
    <definedName name="AftDraftCorrected">#REF!</definedName>
    <definedName name="AMSIMetricTonnage">#REF!</definedName>
    <definedName name="Applicant">#REF!</definedName>
    <definedName name="Beam">#REF!</definedName>
    <definedName name="CargoRequested">#REF!</definedName>
    <definedName name="CMANo">#REF!</definedName>
    <definedName name="DeadWeight">#REF!</definedName>
    <definedName name="Displacement">#REF!</definedName>
    <definedName name="DraftAftPort">#REF!</definedName>
    <definedName name="DraftAftPortCheck">#REF!</definedName>
    <definedName name="DraftAftPortFinal">#REF!</definedName>
    <definedName name="DraftAftPortInitial">#REF!</definedName>
    <definedName name="DraftAftStbd">#REF!</definedName>
    <definedName name="DraftAftStbdCheck">#REF!</definedName>
    <definedName name="DraftAftStbdFinal">#REF!</definedName>
    <definedName name="DraftAftStbdInitial">#REF!</definedName>
    <definedName name="DraftForwardPort">#REF!</definedName>
    <definedName name="DraftForwardPortCheck">#REF!</definedName>
    <definedName name="DraftForwardPortFinal">#REF!</definedName>
    <definedName name="DraftForwardPortInitial">#REF!</definedName>
    <definedName name="DraftForwardStbd">#REF!</definedName>
    <definedName name="DraftForwardStbdCheck">#REF!</definedName>
    <definedName name="DraftForwardStbdFinal">#REF!</definedName>
    <definedName name="DraftForwardStbdInitial">#REF!</definedName>
    <definedName name="DraftMarksAft">#REF!</definedName>
    <definedName name="DraftMarksAftCheck">#REF!</definedName>
    <definedName name="DraftMarksAftFinal">#REF!</definedName>
    <definedName name="DraftMarksAftInitial">#REF!</definedName>
    <definedName name="DraftMarksForward">#REF!</definedName>
    <definedName name="DraftMarksForwardCheck">#REF!</definedName>
    <definedName name="DraftMarksForwardFinal">#REF!</definedName>
    <definedName name="DraftMarksForwardInitial">#REF!</definedName>
    <definedName name="DraftMarksMidship">#REF!</definedName>
    <definedName name="DraftMarksMidshipCheck">#REF!</definedName>
    <definedName name="DraftMarksMidshipFinal">#REF!</definedName>
    <definedName name="DraftMarksMidshipInitial">#REF!</definedName>
    <definedName name="DraftMidshipPort">#REF!</definedName>
    <definedName name="DraftMidshipPortCheck">#REF!</definedName>
    <definedName name="DraftMidshipPortFinal">#REF!</definedName>
    <definedName name="DraftMidshipPortInitial">#REF!</definedName>
    <definedName name="DraftMidshipStbd">#REF!</definedName>
    <definedName name="DraftMidshipStbdCheck">#REF!</definedName>
    <definedName name="DraftMidshipStbdFinal">#REF!</definedName>
    <definedName name="DraftMidshipStbdInitial">#REF!</definedName>
    <definedName name="ForeAndAftDraftMean">#REF!</definedName>
    <definedName name="ForwardDraftCorrected">#REF!</definedName>
    <definedName name="ForwardDraftCorrectedCheck">#REF!</definedName>
    <definedName name="ForwardDraftCorrectedFinal">#REF!</definedName>
    <definedName name="ForwardDraftCorrectedInitial">#REF!</definedName>
    <definedName name="FractionHM">#REF!</definedName>
    <definedName name="GRT">#REF!</definedName>
    <definedName name="Hog">#REF!</definedName>
    <definedName name="HoldCapacityTonnes">#REF!</definedName>
    <definedName name="HoldCapacityVolume">#REF!</definedName>
    <definedName name="HoldLCG">#REF!</definedName>
    <definedName name="HydrostaticsTable">#REF!</definedName>
    <definedName name="KnownWeightsCheck">#REF!</definedName>
    <definedName name="KnownWeightsFinal">#REF!</definedName>
    <definedName name="KnownWeightsInitial">#REF!</definedName>
    <definedName name="LBP">#REF!</definedName>
    <definedName name="LCF">#REF!</definedName>
    <definedName name="LightshipDisplacement">#REF!</definedName>
    <definedName name="MidshipDraftCorrected">#REF!</definedName>
    <definedName name="Moment">#REF!</definedName>
    <definedName name="Moment1">#REF!</definedName>
    <definedName name="Moment2">#REF!</definedName>
    <definedName name="NRT">#REF!</definedName>
    <definedName name="POR">#REF!</definedName>
    <definedName name="Port">#REF!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QuarterMeanDraft">#REF!</definedName>
    <definedName name="Sag">#REF!</definedName>
    <definedName name="SeaWaterDensity">#REF!</definedName>
    <definedName name="StowageFactor">#REF!</definedName>
    <definedName name="SummerDraft">#REF!</definedName>
    <definedName name="TonnageCalculationAmpersand">'[1]Tonnage Calculation'!$A$5</definedName>
    <definedName name="TonnageCalculationHundred">'[1]Tonnage Calculation'!$A$4</definedName>
    <definedName name="TonnageCalculationHundredsOfTonnes">'[1]Tonnage Calculation'!$A$3</definedName>
    <definedName name="TonnageCalculationTensOfTonnes">'[1]Tonnage Calculation'!$A$6</definedName>
    <definedName name="TonnageCalculationThousand">'[1]Tonnage Calculation'!$A$2</definedName>
    <definedName name="TonnageCalculationThousandsOfTonnes">'[1]Tonnage Calculation'!$A$1</definedName>
    <definedName name="TonnageCalculationTonnes">'[1]Tonnage Calculation'!$A$7</definedName>
    <definedName name="Trim">#REF!</definedName>
    <definedName name="Trim1CM">#REF!</definedName>
    <definedName name="TrimCheck">#REF!</definedName>
    <definedName name="TrimFinal">#REF!</definedName>
    <definedName name="TrimInitial">#REF!</definedName>
    <definedName name="VesselName">#REF!</definedName>
    <definedName name="WeightMeterCheck">#REF!</definedName>
    <definedName name="WeightMeterFinal">#REF!</definedName>
  </definedNames>
  <calcPr calcId="152511"/>
</workbook>
</file>

<file path=xl/calcChain.xml><?xml version="1.0" encoding="utf-8"?>
<calcChain xmlns="http://schemas.openxmlformats.org/spreadsheetml/2006/main">
  <c r="I5" i="8" l="1"/>
  <c r="L39" i="8"/>
  <c r="I7" i="8"/>
  <c r="I6" i="8"/>
  <c r="L7" i="8"/>
  <c r="L6" i="8"/>
  <c r="L5" i="8"/>
  <c r="D41" i="8"/>
  <c r="B3" i="6"/>
  <c r="B4" i="6"/>
  <c r="D3" i="6" s="1"/>
  <c r="F3" i="6"/>
  <c r="H3" i="6" s="1"/>
  <c r="B5" i="6"/>
  <c r="B6" i="6"/>
  <c r="D5" i="6"/>
  <c r="F5" i="6" s="1"/>
  <c r="H5" i="6"/>
  <c r="B7" i="6"/>
  <c r="B8" i="6"/>
  <c r="D7" i="6" s="1"/>
  <c r="F7" i="6" s="1"/>
  <c r="H7" i="6" s="1"/>
  <c r="H10" i="6"/>
  <c r="F10" i="6"/>
  <c r="B44" i="1" s="1"/>
  <c r="J39" i="1" s="1"/>
  <c r="G20" i="6"/>
  <c r="B96" i="6"/>
  <c r="D96" i="6"/>
  <c r="C96" i="6"/>
  <c r="C10" i="1"/>
  <c r="C11" i="1" s="1"/>
  <c r="C12" i="1"/>
  <c r="C13" i="1" s="1"/>
  <c r="C14" i="1" s="1"/>
  <c r="C15" i="1" s="1"/>
  <c r="C16" i="1"/>
  <c r="C17" i="1" s="1"/>
  <c r="C18" i="1" s="1"/>
  <c r="C19" i="1" s="1"/>
  <c r="C20" i="1" s="1"/>
  <c r="C21" i="1" s="1"/>
  <c r="C22" i="1" s="1"/>
  <c r="C23" i="1" s="1"/>
  <c r="C24" i="1" s="1"/>
  <c r="D24" i="1" s="1"/>
  <c r="B72" i="6"/>
  <c r="B73" i="6"/>
  <c r="D72" i="6" s="1"/>
  <c r="C72" i="6"/>
  <c r="C25" i="1"/>
  <c r="D26" i="1"/>
  <c r="D27" i="1"/>
  <c r="D28" i="1"/>
  <c r="D29" i="1"/>
  <c r="D30" i="1"/>
  <c r="D31" i="1"/>
  <c r="D32" i="1"/>
  <c r="D33" i="1"/>
  <c r="D34" i="1"/>
  <c r="K41" i="8"/>
  <c r="E8" i="8"/>
  <c r="E7" i="8"/>
  <c r="D6" i="8"/>
  <c r="B104" i="6"/>
  <c r="G45" i="1"/>
  <c r="G44" i="1"/>
  <c r="G55" i="1"/>
  <c r="A55" i="1"/>
  <c r="K62" i="2"/>
  <c r="B62" i="2"/>
  <c r="D8" i="1"/>
  <c r="I5" i="1" s="1"/>
  <c r="E8" i="1"/>
  <c r="F8" i="1"/>
  <c r="D9" i="1"/>
  <c r="E9" i="1"/>
  <c r="F9" i="1" s="1"/>
  <c r="G42" i="6"/>
  <c r="I42" i="6" s="1"/>
  <c r="H42" i="6"/>
  <c r="B49" i="6"/>
  <c r="D49" i="6"/>
  <c r="C49" i="6"/>
  <c r="G49" i="6"/>
  <c r="B56" i="6"/>
  <c r="D56" i="6"/>
  <c r="C56" i="6"/>
  <c r="G56" i="6"/>
  <c r="I56" i="6" s="1"/>
  <c r="H56" i="6"/>
  <c r="B64" i="6"/>
  <c r="D64" i="6"/>
  <c r="C64" i="6"/>
  <c r="G64" i="6"/>
  <c r="G72" i="6"/>
  <c r="I72" i="6"/>
  <c r="H72" i="6"/>
  <c r="B80" i="6"/>
  <c r="D80" i="6" s="1"/>
  <c r="B88" i="6"/>
  <c r="G80" i="6"/>
  <c r="I80" i="6" s="1"/>
  <c r="H80" i="6"/>
  <c r="G88" i="6"/>
  <c r="I88" i="6"/>
  <c r="H88" i="6"/>
  <c r="B75" i="6"/>
  <c r="D75" i="6" s="1"/>
  <c r="E25" i="1" s="1"/>
  <c r="B42" i="6"/>
  <c r="F27" i="1"/>
  <c r="F29" i="1"/>
  <c r="F31" i="1"/>
  <c r="F33" i="1"/>
  <c r="B76" i="6"/>
  <c r="D76" i="6" s="1"/>
  <c r="I25" i="1" s="1"/>
  <c r="B34" i="6"/>
  <c r="B35" i="6"/>
  <c r="C34" i="6"/>
  <c r="C35" i="6"/>
  <c r="D34" i="6"/>
  <c r="D35" i="6" s="1"/>
  <c r="E34" i="6"/>
  <c r="E35" i="6" s="1"/>
  <c r="F34" i="6"/>
  <c r="F35" i="6" s="1"/>
  <c r="G34" i="6"/>
  <c r="G35" i="6" s="1"/>
  <c r="H34" i="6"/>
  <c r="H35" i="6" s="1"/>
  <c r="I34" i="6"/>
  <c r="I35" i="6" s="1"/>
  <c r="J34" i="6"/>
  <c r="J35" i="6" s="1"/>
  <c r="K34" i="6"/>
  <c r="K35" i="6" s="1"/>
  <c r="H8" i="1"/>
  <c r="H9" i="1"/>
  <c r="B74" i="6"/>
  <c r="D74" i="6"/>
  <c r="G25" i="1" s="1"/>
  <c r="H27" i="1"/>
  <c r="H29" i="1"/>
  <c r="H31" i="1"/>
  <c r="H33" i="1"/>
  <c r="M24" i="6"/>
  <c r="M14" i="6"/>
  <c r="M5" i="6"/>
  <c r="D104" i="6"/>
  <c r="C104" i="6"/>
  <c r="C80" i="6"/>
  <c r="D88" i="6"/>
  <c r="C88" i="6"/>
  <c r="C26" i="1"/>
  <c r="C4" i="3"/>
  <c r="C5" i="3" s="1"/>
  <c r="C6" i="3" s="1"/>
  <c r="C7" i="3" s="1"/>
  <c r="C8" i="3"/>
  <c r="C9" i="3" s="1"/>
  <c r="C10" i="3" s="1"/>
  <c r="C11" i="3" s="1"/>
  <c r="C12" i="3" s="1"/>
  <c r="C13" i="3" s="1"/>
  <c r="C14" i="3" s="1"/>
  <c r="C15" i="3" s="1"/>
  <c r="C16" i="3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BU4" i="3"/>
  <c r="BU5" i="3"/>
  <c r="BU6" i="3" s="1"/>
  <c r="BU7" i="3" s="1"/>
  <c r="BU8" i="3" s="1"/>
  <c r="BU9" i="3" s="1"/>
  <c r="BU10" i="3" s="1"/>
  <c r="BU11" i="3" s="1"/>
  <c r="BU12" i="3" s="1"/>
  <c r="BU13" i="3" s="1"/>
  <c r="BU14" i="3" s="1"/>
  <c r="BU15" i="3" s="1"/>
  <c r="BU16" i="3" s="1"/>
  <c r="BU17" i="3" s="1"/>
  <c r="BU18" i="3" s="1"/>
  <c r="BU19" i="3" s="1"/>
  <c r="BU20" i="3" s="1"/>
  <c r="BU21" i="3" s="1"/>
  <c r="BU22" i="3" s="1"/>
  <c r="BU23" i="3" s="1"/>
  <c r="BU24" i="3" s="1"/>
  <c r="BU25" i="3" s="1"/>
  <c r="BU26" i="3" s="1"/>
  <c r="BU27" i="3" s="1"/>
  <c r="BU28" i="3" s="1"/>
  <c r="BT4" i="3"/>
  <c r="BT5" i="3"/>
  <c r="BT6" i="3"/>
  <c r="BT7" i="3"/>
  <c r="BT8" i="3"/>
  <c r="BT9" i="3"/>
  <c r="BT10" i="3"/>
  <c r="BT11" i="3"/>
  <c r="BT12" i="3"/>
  <c r="BT13" i="3"/>
  <c r="BT14" i="3"/>
  <c r="BT15" i="3"/>
  <c r="BT16" i="3"/>
  <c r="BT17" i="3"/>
  <c r="BT18" i="3"/>
  <c r="BT19" i="3"/>
  <c r="BT20" i="3"/>
  <c r="BT21" i="3"/>
  <c r="BT22" i="3"/>
  <c r="BT23" i="3"/>
  <c r="BT24" i="3"/>
  <c r="BT25" i="3"/>
  <c r="BT26" i="3"/>
  <c r="BT27" i="3"/>
  <c r="BT28" i="3"/>
  <c r="BT3" i="3"/>
  <c r="BM4" i="3"/>
  <c r="BM5" i="3"/>
  <c r="BM6" i="3"/>
  <c r="BM7" i="3"/>
  <c r="BM8" i="3"/>
  <c r="BM9" i="3"/>
  <c r="BM10" i="3"/>
  <c r="BM11" i="3"/>
  <c r="BM12" i="3"/>
  <c r="BM13" i="3"/>
  <c r="BM14" i="3"/>
  <c r="BM15" i="3"/>
  <c r="BM16" i="3"/>
  <c r="BM17" i="3"/>
  <c r="BM18" i="3"/>
  <c r="BM19" i="3"/>
  <c r="BM20" i="3"/>
  <c r="BM21" i="3"/>
  <c r="BM22" i="3"/>
  <c r="BM23" i="3"/>
  <c r="BM24" i="3"/>
  <c r="BM25" i="3"/>
  <c r="BM26" i="3"/>
  <c r="BM27" i="3"/>
  <c r="BM28" i="3"/>
  <c r="BM29" i="3"/>
  <c r="BM30" i="3"/>
  <c r="BM31" i="3"/>
  <c r="BM32" i="3"/>
  <c r="BM33" i="3"/>
  <c r="BM34" i="3"/>
  <c r="BM35" i="3"/>
  <c r="BM36" i="3"/>
  <c r="BM37" i="3"/>
  <c r="BM38" i="3"/>
  <c r="BM39" i="3"/>
  <c r="BM40" i="3"/>
  <c r="BM41" i="3"/>
  <c r="BM42" i="3"/>
  <c r="BM43" i="3"/>
  <c r="BM44" i="3"/>
  <c r="BM45" i="3"/>
  <c r="BM46" i="3"/>
  <c r="BM47" i="3"/>
  <c r="BM48" i="3"/>
  <c r="BM49" i="3"/>
  <c r="BM50" i="3"/>
  <c r="BM51" i="3"/>
  <c r="BM52" i="3"/>
  <c r="BM53" i="3"/>
  <c r="BM54" i="3"/>
  <c r="BM55" i="3"/>
  <c r="BM56" i="3"/>
  <c r="BM57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43" i="3"/>
  <c r="BF44" i="3"/>
  <c r="BF45" i="3"/>
  <c r="BF46" i="3"/>
  <c r="BF47" i="3"/>
  <c r="BF48" i="3"/>
  <c r="BF49" i="3"/>
  <c r="BF50" i="3"/>
  <c r="BF51" i="3"/>
  <c r="BF52" i="3"/>
  <c r="BF53" i="3"/>
  <c r="BF54" i="3"/>
  <c r="BF55" i="3"/>
  <c r="BF56" i="3"/>
  <c r="BF57" i="3"/>
  <c r="BF3" i="3"/>
  <c r="AY4" i="3"/>
  <c r="AY5" i="3"/>
  <c r="AY6" i="3"/>
  <c r="AY7" i="3"/>
  <c r="AY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28" i="3"/>
  <c r="AY29" i="3"/>
  <c r="AY30" i="3"/>
  <c r="AY31" i="3"/>
  <c r="AY32" i="3"/>
  <c r="AY33" i="3"/>
  <c r="AY34" i="3"/>
  <c r="AY35" i="3"/>
  <c r="AY36" i="3"/>
  <c r="AY37" i="3"/>
  <c r="AY38" i="3"/>
  <c r="AY39" i="3"/>
  <c r="AY40" i="3"/>
  <c r="AY41" i="3"/>
  <c r="AY42" i="3"/>
  <c r="AY43" i="3"/>
  <c r="AY44" i="3"/>
  <c r="AY45" i="3"/>
  <c r="AY46" i="3"/>
  <c r="AY47" i="3"/>
  <c r="AY48" i="3"/>
  <c r="AY49" i="3"/>
  <c r="AY50" i="3"/>
  <c r="AY51" i="3"/>
  <c r="AY52" i="3"/>
  <c r="AY53" i="3"/>
  <c r="AY54" i="3"/>
  <c r="AY55" i="3"/>
  <c r="AY56" i="3"/>
  <c r="AY57" i="3"/>
  <c r="AY3" i="3"/>
  <c r="AR4" i="3"/>
  <c r="AR5" i="3"/>
  <c r="AR6" i="3"/>
  <c r="AR7" i="3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41" i="3"/>
  <c r="AR42" i="3"/>
  <c r="AR43" i="3"/>
  <c r="AR44" i="3"/>
  <c r="AR45" i="3"/>
  <c r="AR46" i="3"/>
  <c r="AR47" i="3"/>
  <c r="AR48" i="3"/>
  <c r="AR49" i="3"/>
  <c r="AR50" i="3"/>
  <c r="AR51" i="3"/>
  <c r="AR52" i="3"/>
  <c r="AR53" i="3"/>
  <c r="AR54" i="3"/>
  <c r="AR55" i="3"/>
  <c r="AR56" i="3"/>
  <c r="AR57" i="3"/>
  <c r="AR3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3" i="3"/>
  <c r="AD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3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11" i="3"/>
  <c r="B4" i="3"/>
  <c r="B5" i="3"/>
  <c r="B6" i="3"/>
  <c r="B7" i="3"/>
  <c r="B8" i="3"/>
  <c r="B9" i="3"/>
  <c r="B10" i="3"/>
  <c r="B3" i="3"/>
  <c r="BM3" i="3"/>
  <c r="BP19" i="3"/>
  <c r="BP20" i="3" s="1"/>
  <c r="BP21" i="3" s="1"/>
  <c r="BP22" i="3" s="1"/>
  <c r="BP23" i="3"/>
  <c r="BP24" i="3" s="1"/>
  <c r="BP25" i="3" s="1"/>
  <c r="BP26" i="3" s="1"/>
  <c r="BP27" i="3" s="1"/>
  <c r="BP28" i="3" s="1"/>
  <c r="BP29" i="3" s="1"/>
  <c r="BP30" i="3" s="1"/>
  <c r="BP31" i="3" s="1"/>
  <c r="BP32" i="3" s="1"/>
  <c r="BP33" i="3" s="1"/>
  <c r="BP34" i="3" s="1"/>
  <c r="BP35" i="3" s="1"/>
  <c r="BP36" i="3" s="1"/>
  <c r="BP37" i="3" s="1"/>
  <c r="BP38" i="3" s="1"/>
  <c r="BP39" i="3" s="1"/>
  <c r="BP40" i="3" s="1"/>
  <c r="BP41" i="3" s="1"/>
  <c r="BP42" i="3" s="1"/>
  <c r="BP43" i="3" s="1"/>
  <c r="BP44" i="3" s="1"/>
  <c r="BP45" i="3" s="1"/>
  <c r="BP46" i="3" s="1"/>
  <c r="BP47" i="3" s="1"/>
  <c r="BP48" i="3" s="1"/>
  <c r="BP49" i="3" s="1"/>
  <c r="BP50" i="3" s="1"/>
  <c r="BP51" i="3" s="1"/>
  <c r="BP52" i="3" s="1"/>
  <c r="BP53" i="3" s="1"/>
  <c r="BP54" i="3" s="1"/>
  <c r="BP55" i="3" s="1"/>
  <c r="BP56" i="3" s="1"/>
  <c r="BL4" i="3"/>
  <c r="BL5" i="3" s="1"/>
  <c r="BL6" i="3"/>
  <c r="BL7" i="3" s="1"/>
  <c r="BL8" i="3" s="1"/>
  <c r="BL9" i="3" s="1"/>
  <c r="BL10" i="3" s="1"/>
  <c r="BL11" i="3" s="1"/>
  <c r="BL12" i="3" s="1"/>
  <c r="BL13" i="3" s="1"/>
  <c r="BL14" i="3" s="1"/>
  <c r="BL15" i="3" s="1"/>
  <c r="BL16" i="3" s="1"/>
  <c r="BL17" i="3" s="1"/>
  <c r="BL18" i="3" s="1"/>
  <c r="BL19" i="3" s="1"/>
  <c r="BL20" i="3" s="1"/>
  <c r="BL21" i="3" s="1"/>
  <c r="BL22" i="3" s="1"/>
  <c r="BL23" i="3" s="1"/>
  <c r="BL24" i="3" s="1"/>
  <c r="BL25" i="3" s="1"/>
  <c r="BL26" i="3" s="1"/>
  <c r="BL27" i="3" s="1"/>
  <c r="BL28" i="3" s="1"/>
  <c r="BL29" i="3" s="1"/>
  <c r="BL30" i="3" s="1"/>
  <c r="BE4" i="3"/>
  <c r="BE5" i="3"/>
  <c r="BE6" i="3" s="1"/>
  <c r="BE7" i="3" s="1"/>
  <c r="BE8" i="3" s="1"/>
  <c r="BE9" i="3" s="1"/>
  <c r="BE10" i="3" s="1"/>
  <c r="BE11" i="3" s="1"/>
  <c r="BE12" i="3" s="1"/>
  <c r="BE13" i="3" s="1"/>
  <c r="BE14" i="3" s="1"/>
  <c r="BE15" i="3" s="1"/>
  <c r="BE16" i="3" s="1"/>
  <c r="BE17" i="3" s="1"/>
  <c r="BE18" i="3" s="1"/>
  <c r="BE19" i="3" s="1"/>
  <c r="BE20" i="3" s="1"/>
  <c r="BE21" i="3" s="1"/>
  <c r="BE22" i="3" s="1"/>
  <c r="BE23" i="3" s="1"/>
  <c r="BE24" i="3" s="1"/>
  <c r="BE25" i="3" s="1"/>
  <c r="BE26" i="3" s="1"/>
  <c r="BE27" i="3" s="1"/>
  <c r="BE28" i="3" s="1"/>
  <c r="BE29" i="3" s="1"/>
  <c r="BE30" i="3" s="1"/>
  <c r="AX4" i="3"/>
  <c r="AX5" i="3" s="1"/>
  <c r="AX6" i="3"/>
  <c r="AX7" i="3" s="1"/>
  <c r="AX8" i="3" s="1"/>
  <c r="AX9" i="3" s="1"/>
  <c r="AX10" i="3" s="1"/>
  <c r="AX11" i="3" s="1"/>
  <c r="AX12" i="3" s="1"/>
  <c r="AX13" i="3" s="1"/>
  <c r="AX14" i="3" s="1"/>
  <c r="AX15" i="3" s="1"/>
  <c r="AX16" i="3" s="1"/>
  <c r="AX17" i="3" s="1"/>
  <c r="AX18" i="3" s="1"/>
  <c r="AX19" i="3" s="1"/>
  <c r="AX20" i="3" s="1"/>
  <c r="AX21" i="3" s="1"/>
  <c r="AX22" i="3" s="1"/>
  <c r="AX23" i="3" s="1"/>
  <c r="AX24" i="3" s="1"/>
  <c r="AX25" i="3" s="1"/>
  <c r="AX26" i="3" s="1"/>
  <c r="AX27" i="3" s="1"/>
  <c r="AX28" i="3" s="1"/>
  <c r="AX29" i="3" s="1"/>
  <c r="AX30" i="3" s="1"/>
  <c r="AQ4" i="3"/>
  <c r="AQ5" i="3"/>
  <c r="AQ6" i="3" s="1"/>
  <c r="AQ7" i="3" s="1"/>
  <c r="AQ8" i="3" s="1"/>
  <c r="AQ9" i="3" s="1"/>
  <c r="AQ10" i="3" s="1"/>
  <c r="AQ11" i="3" s="1"/>
  <c r="AQ12" i="3" s="1"/>
  <c r="AQ13" i="3" s="1"/>
  <c r="AQ14" i="3" s="1"/>
  <c r="AQ15" i="3" s="1"/>
  <c r="AQ16" i="3" s="1"/>
  <c r="AQ17" i="3" s="1"/>
  <c r="AQ18" i="3" s="1"/>
  <c r="AQ19" i="3" s="1"/>
  <c r="AQ20" i="3" s="1"/>
  <c r="AQ21" i="3" s="1"/>
  <c r="AQ22" i="3" s="1"/>
  <c r="AQ23" i="3" s="1"/>
  <c r="AQ24" i="3" s="1"/>
  <c r="AQ25" i="3" s="1"/>
  <c r="AQ26" i="3" s="1"/>
  <c r="AQ27" i="3" s="1"/>
  <c r="AQ28" i="3" s="1"/>
  <c r="AQ29" i="3" s="1"/>
  <c r="AQ30" i="3" s="1"/>
  <c r="AJ4" i="3"/>
  <c r="AJ5" i="3" s="1"/>
  <c r="AJ6" i="3"/>
  <c r="AJ7" i="3" s="1"/>
  <c r="AJ8" i="3" s="1"/>
  <c r="AJ9" i="3" s="1"/>
  <c r="AC4" i="3"/>
  <c r="AC5" i="3" s="1"/>
  <c r="AC6" i="3" s="1"/>
  <c r="AC7" i="3" s="1"/>
  <c r="AC8" i="3"/>
  <c r="AC9" i="3" s="1"/>
  <c r="AC10" i="3" s="1"/>
  <c r="V4" i="3"/>
  <c r="V5" i="3"/>
  <c r="V6" i="3" s="1"/>
  <c r="V7" i="3"/>
  <c r="V8" i="3" s="1"/>
  <c r="V9" i="3" s="1"/>
  <c r="V10" i="3" s="1"/>
  <c r="V11" i="3"/>
  <c r="V12" i="3" s="1"/>
  <c r="V13" i="3" s="1"/>
  <c r="O4" i="3"/>
  <c r="O5" i="3"/>
  <c r="O6" i="3" s="1"/>
  <c r="O7" i="3"/>
  <c r="O8" i="3" s="1"/>
  <c r="O9" i="3" s="1"/>
  <c r="O10" i="3" s="1"/>
  <c r="O11" i="3"/>
  <c r="O12" i="3" s="1"/>
  <c r="O13" i="3" s="1"/>
  <c r="O14" i="3" s="1"/>
  <c r="O15" i="3" s="1"/>
  <c r="O16" i="3" s="1"/>
  <c r="O17" i="3" s="1"/>
  <c r="O18" i="3" s="1"/>
  <c r="H4" i="3"/>
  <c r="H5" i="3" s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G5" i="1"/>
  <c r="G4" i="1"/>
  <c r="B5" i="1"/>
  <c r="B4" i="1"/>
  <c r="B3" i="1"/>
  <c r="C28" i="6"/>
  <c r="A3" i="5"/>
  <c r="A4" i="5"/>
  <c r="A5" i="5" s="1"/>
  <c r="A6" i="5"/>
  <c r="A7" i="5" s="1"/>
  <c r="A8" i="5" s="1"/>
  <c r="A9" i="5" s="1"/>
  <c r="A10" i="5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" i="4"/>
  <c r="A4" i="4"/>
  <c r="A5" i="4" s="1"/>
  <c r="A6" i="4"/>
  <c r="A7" i="4" s="1"/>
  <c r="A8" i="4" s="1"/>
  <c r="A9" i="4" s="1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I50" i="1"/>
  <c r="I40" i="1"/>
  <c r="AC11" i="3"/>
  <c r="AC12" i="3" s="1"/>
  <c r="AC13" i="3" s="1"/>
  <c r="AC14" i="3" s="1"/>
  <c r="AC15" i="3" s="1"/>
  <c r="AC16" i="3" s="1"/>
  <c r="AC17" i="3" s="1"/>
  <c r="G74" i="6"/>
  <c r="I74" i="6" s="1"/>
  <c r="G17" i="1" s="1"/>
  <c r="G66" i="6"/>
  <c r="G76" i="6"/>
  <c r="I76" i="6" s="1"/>
  <c r="I17" i="1" s="1"/>
  <c r="G68" i="6"/>
  <c r="G75" i="6"/>
  <c r="I75" i="6" s="1"/>
  <c r="E17" i="1" s="1"/>
  <c r="G73" i="6"/>
  <c r="I73" i="6" s="1"/>
  <c r="B17" i="1" s="1"/>
  <c r="D17" i="1" s="1"/>
  <c r="B58" i="6"/>
  <c r="D58" i="6" s="1"/>
  <c r="G13" i="1" s="1"/>
  <c r="G51" i="6"/>
  <c r="I51" i="6" s="1"/>
  <c r="G12" i="1" s="1"/>
  <c r="B60" i="6"/>
  <c r="D60" i="6" s="1"/>
  <c r="I13" i="1" s="1"/>
  <c r="G53" i="6"/>
  <c r="I53" i="6" s="1"/>
  <c r="I12" i="1" s="1"/>
  <c r="B59" i="6"/>
  <c r="D59" i="6" s="1"/>
  <c r="E13" i="1" s="1"/>
  <c r="B57" i="6"/>
  <c r="D57" i="6" s="1"/>
  <c r="B13" i="1" s="1"/>
  <c r="D13" i="1" s="1"/>
  <c r="C57" i="6"/>
  <c r="H13" i="1" l="1"/>
  <c r="F13" i="1"/>
  <c r="H17" i="1"/>
  <c r="F17" i="1"/>
  <c r="O19" i="3"/>
  <c r="C51" i="6"/>
  <c r="B83" i="6"/>
  <c r="D83" i="6" s="1"/>
  <c r="E18" i="1" s="1"/>
  <c r="B91" i="6"/>
  <c r="B92" i="6"/>
  <c r="B90" i="6"/>
  <c r="C83" i="6"/>
  <c r="C81" i="6"/>
  <c r="C92" i="6"/>
  <c r="D92" i="6" s="1"/>
  <c r="I19" i="1" s="1"/>
  <c r="C90" i="6"/>
  <c r="D90" i="6" s="1"/>
  <c r="G19" i="1" s="1"/>
  <c r="B81" i="6"/>
  <c r="D81" i="6" s="1"/>
  <c r="B18" i="1" s="1"/>
  <c r="D18" i="1" s="1"/>
  <c r="B84" i="6"/>
  <c r="D84" i="6" s="1"/>
  <c r="I18" i="1" s="1"/>
  <c r="C84" i="6"/>
  <c r="C91" i="6"/>
  <c r="D91" i="6" s="1"/>
  <c r="E19" i="1" s="1"/>
  <c r="B82" i="6"/>
  <c r="D82" i="6" s="1"/>
  <c r="G18" i="1" s="1"/>
  <c r="C82" i="6"/>
  <c r="C89" i="6"/>
  <c r="D89" i="6" s="1"/>
  <c r="B19" i="1" s="1"/>
  <c r="D19" i="1" s="1"/>
  <c r="B89" i="6"/>
  <c r="AQ31" i="3"/>
  <c r="AQ32" i="3" s="1"/>
  <c r="AQ33" i="3" s="1"/>
  <c r="AQ34" i="3" s="1"/>
  <c r="AQ35" i="3" s="1"/>
  <c r="AQ36" i="3" s="1"/>
  <c r="AQ37" i="3" s="1"/>
  <c r="AQ38" i="3" s="1"/>
  <c r="AQ39" i="3" s="1"/>
  <c r="AQ40" i="3" s="1"/>
  <c r="AQ41" i="3" s="1"/>
  <c r="AQ42" i="3" s="1"/>
  <c r="AQ43" i="3" s="1"/>
  <c r="AQ44" i="3" s="1"/>
  <c r="AQ45" i="3" s="1"/>
  <c r="AQ46" i="3" s="1"/>
  <c r="AQ47" i="3" s="1"/>
  <c r="AQ48" i="3" s="1"/>
  <c r="AQ49" i="3" s="1"/>
  <c r="AQ50" i="3" s="1"/>
  <c r="AQ51" i="3" s="1"/>
  <c r="AQ52" i="3" s="1"/>
  <c r="AQ53" i="3" s="1"/>
  <c r="AQ54" i="3" s="1"/>
  <c r="AQ55" i="3" s="1"/>
  <c r="AQ56" i="3" s="1"/>
  <c r="AQ57" i="3" s="1"/>
  <c r="G89" i="6"/>
  <c r="I89" i="6" s="1"/>
  <c r="B21" i="1" s="1"/>
  <c r="D21" i="1" s="1"/>
  <c r="H91" i="6"/>
  <c r="H92" i="6"/>
  <c r="H90" i="6"/>
  <c r="H89" i="6"/>
  <c r="G92" i="6"/>
  <c r="I92" i="6" s="1"/>
  <c r="I21" i="1" s="1"/>
  <c r="AX31" i="3"/>
  <c r="AX32" i="3" s="1"/>
  <c r="AX33" i="3" s="1"/>
  <c r="AX34" i="3" s="1"/>
  <c r="AX35" i="3" s="1"/>
  <c r="AX36" i="3" s="1"/>
  <c r="AX37" i="3" s="1"/>
  <c r="AX38" i="3" s="1"/>
  <c r="AX39" i="3" s="1"/>
  <c r="AX40" i="3" s="1"/>
  <c r="AX41" i="3" s="1"/>
  <c r="AX42" i="3" s="1"/>
  <c r="AX43" i="3" s="1"/>
  <c r="AX44" i="3" s="1"/>
  <c r="AX45" i="3" s="1"/>
  <c r="AX46" i="3" s="1"/>
  <c r="AX47" i="3" s="1"/>
  <c r="AX48" i="3" s="1"/>
  <c r="AX49" i="3" s="1"/>
  <c r="AX50" i="3" s="1"/>
  <c r="AX51" i="3" s="1"/>
  <c r="AX52" i="3" s="1"/>
  <c r="AX53" i="3" s="1"/>
  <c r="AX54" i="3" s="1"/>
  <c r="AX55" i="3" s="1"/>
  <c r="AX56" i="3" s="1"/>
  <c r="AX57" i="3" s="1"/>
  <c r="G91" i="6"/>
  <c r="I91" i="6" s="1"/>
  <c r="E21" i="1" s="1"/>
  <c r="G90" i="6"/>
  <c r="I90" i="6" s="1"/>
  <c r="G21" i="1" s="1"/>
  <c r="G81" i="6"/>
  <c r="I81" i="6" s="1"/>
  <c r="B20" i="1" s="1"/>
  <c r="D20" i="1" s="1"/>
  <c r="H81" i="6"/>
  <c r="G83" i="6"/>
  <c r="I83" i="6" s="1"/>
  <c r="E20" i="1" s="1"/>
  <c r="G84" i="6"/>
  <c r="I84" i="6" s="1"/>
  <c r="I20" i="1" s="1"/>
  <c r="G82" i="6"/>
  <c r="I82" i="6" s="1"/>
  <c r="G20" i="1" s="1"/>
  <c r="BE31" i="3"/>
  <c r="BE32" i="3" s="1"/>
  <c r="BE33" i="3" s="1"/>
  <c r="BE34" i="3" s="1"/>
  <c r="BE35" i="3" s="1"/>
  <c r="BE36" i="3" s="1"/>
  <c r="BE37" i="3" s="1"/>
  <c r="BE38" i="3" s="1"/>
  <c r="BE39" i="3" s="1"/>
  <c r="BE40" i="3" s="1"/>
  <c r="BE41" i="3" s="1"/>
  <c r="BE42" i="3" s="1"/>
  <c r="BE43" i="3" s="1"/>
  <c r="BE44" i="3" s="1"/>
  <c r="BE45" i="3" s="1"/>
  <c r="BE46" i="3" s="1"/>
  <c r="BE47" i="3" s="1"/>
  <c r="BE48" i="3" s="1"/>
  <c r="BE49" i="3" s="1"/>
  <c r="BE50" i="3" s="1"/>
  <c r="BE51" i="3" s="1"/>
  <c r="BE52" i="3" s="1"/>
  <c r="BE53" i="3" s="1"/>
  <c r="BE54" i="3" s="1"/>
  <c r="BE55" i="3" s="1"/>
  <c r="BE56" i="3" s="1"/>
  <c r="BE57" i="3" s="1"/>
  <c r="BL31" i="3"/>
  <c r="BL32" i="3" s="1"/>
  <c r="BL33" i="3" s="1"/>
  <c r="BL34" i="3" s="1"/>
  <c r="BL35" i="3" s="1"/>
  <c r="BL36" i="3" s="1"/>
  <c r="BL37" i="3" s="1"/>
  <c r="BL38" i="3" s="1"/>
  <c r="BL39" i="3" s="1"/>
  <c r="BL40" i="3" s="1"/>
  <c r="BL41" i="3" s="1"/>
  <c r="BL42" i="3" s="1"/>
  <c r="BL43" i="3" s="1"/>
  <c r="BL44" i="3" s="1"/>
  <c r="BL45" i="3" s="1"/>
  <c r="BL46" i="3" s="1"/>
  <c r="BL47" i="3" s="1"/>
  <c r="BL48" i="3" s="1"/>
  <c r="BL49" i="3" s="1"/>
  <c r="BL50" i="3" s="1"/>
  <c r="BL51" i="3" s="1"/>
  <c r="BL52" i="3" s="1"/>
  <c r="BL53" i="3" s="1"/>
  <c r="BL54" i="3" s="1"/>
  <c r="BL55" i="3" s="1"/>
  <c r="BL56" i="3" s="1"/>
  <c r="BL57" i="3" s="1"/>
  <c r="C105" i="6"/>
  <c r="C106" i="6"/>
  <c r="B98" i="6"/>
  <c r="D98" i="6" s="1"/>
  <c r="G22" i="1" s="1"/>
  <c r="B108" i="6"/>
  <c r="D108" i="6" s="1"/>
  <c r="I23" i="1" s="1"/>
  <c r="C100" i="6"/>
  <c r="B106" i="6"/>
  <c r="D106" i="6" s="1"/>
  <c r="G23" i="1" s="1"/>
  <c r="C99" i="6"/>
  <c r="B97" i="6"/>
  <c r="D97" i="6" s="1"/>
  <c r="B22" i="1" s="1"/>
  <c r="D22" i="1" s="1"/>
  <c r="C107" i="6"/>
  <c r="C98" i="6"/>
  <c r="B99" i="6"/>
  <c r="D99" i="6" s="1"/>
  <c r="E22" i="1" s="1"/>
  <c r="B105" i="6"/>
  <c r="D105" i="6" s="1"/>
  <c r="B23" i="1" s="1"/>
  <c r="D23" i="1" s="1"/>
  <c r="C97" i="6"/>
  <c r="B100" i="6"/>
  <c r="D100" i="6" s="1"/>
  <c r="I22" i="1" s="1"/>
  <c r="C108" i="6"/>
  <c r="B107" i="6"/>
  <c r="D107" i="6" s="1"/>
  <c r="E23" i="1" s="1"/>
  <c r="F24" i="1"/>
  <c r="H24" i="1"/>
  <c r="A21" i="4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J20" i="6"/>
  <c r="G45" i="6"/>
  <c r="I45" i="6" s="1"/>
  <c r="E10" i="1" s="1"/>
  <c r="G44" i="6"/>
  <c r="I44" i="6" s="1"/>
  <c r="I10" i="1" s="1"/>
  <c r="G46" i="6"/>
  <c r="I46" i="6" s="1"/>
  <c r="G10" i="1" s="1"/>
  <c r="G43" i="6"/>
  <c r="I43" i="6" s="1"/>
  <c r="B10" i="1" s="1"/>
  <c r="D10" i="1" s="1"/>
  <c r="H45" i="6"/>
  <c r="H44" i="6"/>
  <c r="H46" i="6"/>
  <c r="H38" i="3"/>
  <c r="H39" i="3" s="1"/>
  <c r="H40" i="3" s="1"/>
  <c r="H41" i="3" s="1"/>
  <c r="H42" i="3" s="1"/>
  <c r="H43" i="3" s="1"/>
  <c r="H44" i="3" s="1"/>
  <c r="H45" i="3" s="1"/>
  <c r="H46" i="3" s="1"/>
  <c r="H47" i="3" s="1"/>
  <c r="H48" i="3" s="1"/>
  <c r="H49" i="3" s="1"/>
  <c r="H50" i="3" s="1"/>
  <c r="H51" i="3" s="1"/>
  <c r="H52" i="3" s="1"/>
  <c r="H53" i="3" s="1"/>
  <c r="H54" i="3" s="1"/>
  <c r="H55" i="3" s="1"/>
  <c r="H56" i="3" s="1"/>
  <c r="H57" i="3" s="1"/>
  <c r="H58" i="3" s="1"/>
  <c r="H59" i="3" s="1"/>
  <c r="H60" i="3" s="1"/>
  <c r="H61" i="3" s="1"/>
  <c r="H62" i="3" s="1"/>
  <c r="H63" i="3" s="1"/>
  <c r="H64" i="3" s="1"/>
  <c r="H65" i="3" s="1"/>
  <c r="H66" i="3" s="1"/>
  <c r="H67" i="3" s="1"/>
  <c r="H68" i="3" s="1"/>
  <c r="H69" i="3" s="1"/>
  <c r="H70" i="3" s="1"/>
  <c r="H71" i="3" s="1"/>
  <c r="C58" i="6"/>
  <c r="C60" i="6"/>
  <c r="C59" i="6"/>
  <c r="C66" i="6"/>
  <c r="H58" i="6"/>
  <c r="C68" i="6"/>
  <c r="H60" i="6"/>
  <c r="C67" i="6"/>
  <c r="C65" i="6"/>
  <c r="G59" i="6"/>
  <c r="I59" i="6" s="1"/>
  <c r="E14" i="1" s="1"/>
  <c r="G57" i="6"/>
  <c r="I57" i="6" s="1"/>
  <c r="B14" i="1" s="1"/>
  <c r="D14" i="1" s="1"/>
  <c r="H57" i="6"/>
  <c r="H20" i="6"/>
  <c r="I20" i="6"/>
  <c r="J19" i="6"/>
  <c r="I15" i="6"/>
  <c r="G19" i="6"/>
  <c r="I8" i="8"/>
  <c r="D39" i="8"/>
  <c r="AJ10" i="3"/>
  <c r="AJ11" i="3" s="1"/>
  <c r="AJ12" i="3" s="1"/>
  <c r="AJ13" i="3" s="1"/>
  <c r="AJ14" i="3" s="1"/>
  <c r="AJ15" i="3" s="1"/>
  <c r="AJ16" i="3" s="1"/>
  <c r="H74" i="6"/>
  <c r="H76" i="6"/>
  <c r="H75" i="6"/>
  <c r="H73" i="6"/>
  <c r="G67" i="6"/>
  <c r="G65" i="6"/>
  <c r="H59" i="6"/>
  <c r="B65" i="6"/>
  <c r="D65" i="6" s="1"/>
  <c r="B15" i="1" s="1"/>
  <c r="D15" i="1" s="1"/>
  <c r="B67" i="6"/>
  <c r="D67" i="6" s="1"/>
  <c r="E15" i="1" s="1"/>
  <c r="G60" i="6"/>
  <c r="I60" i="6" s="1"/>
  <c r="I14" i="1" s="1"/>
  <c r="B68" i="6"/>
  <c r="D68" i="6" s="1"/>
  <c r="I15" i="1" s="1"/>
  <c r="G58" i="6"/>
  <c r="I58" i="6" s="1"/>
  <c r="G14" i="1" s="1"/>
  <c r="B66" i="6"/>
  <c r="D66" i="6" s="1"/>
  <c r="G15" i="1" s="1"/>
  <c r="V14" i="3"/>
  <c r="V15" i="3" s="1"/>
  <c r="V16" i="3" s="1"/>
  <c r="V17" i="3" s="1"/>
  <c r="V18" i="3" s="1"/>
  <c r="V19" i="3" s="1"/>
  <c r="V20" i="3" s="1"/>
  <c r="V21" i="3" s="1"/>
  <c r="V22" i="3" s="1"/>
  <c r="V23" i="3" s="1"/>
  <c r="B44" i="6"/>
  <c r="C42" i="6"/>
  <c r="B43" i="6"/>
  <c r="B45" i="6"/>
  <c r="D45" i="6" s="1"/>
  <c r="G26" i="1" s="1"/>
  <c r="H26" i="1" s="1"/>
  <c r="D42" i="6"/>
  <c r="B46" i="6"/>
  <c r="H83" i="6"/>
  <c r="H84" i="6"/>
  <c r="H82" i="6"/>
  <c r="I49" i="6"/>
  <c r="H49" i="6"/>
  <c r="G52" i="6"/>
  <c r="I52" i="6" s="1"/>
  <c r="E12" i="1" s="1"/>
  <c r="G50" i="6"/>
  <c r="I50" i="6" s="1"/>
  <c r="B12" i="1" s="1"/>
  <c r="D12" i="1" s="1"/>
  <c r="H43" i="6"/>
  <c r="C73" i="6"/>
  <c r="D73" i="6" s="1"/>
  <c r="B25" i="1" s="1"/>
  <c r="D25" i="1" s="1"/>
  <c r="C75" i="6"/>
  <c r="C74" i="6"/>
  <c r="C76" i="6"/>
  <c r="I64" i="6"/>
  <c r="H64" i="6"/>
  <c r="F34" i="1"/>
  <c r="H34" i="1"/>
  <c r="F32" i="1"/>
  <c r="H32" i="1"/>
  <c r="F30" i="1"/>
  <c r="H30" i="1"/>
  <c r="F28" i="1"/>
  <c r="H28" i="1"/>
  <c r="D10" i="6"/>
  <c r="H12" i="1" l="1"/>
  <c r="F12" i="1"/>
  <c r="J37" i="6"/>
  <c r="H37" i="6"/>
  <c r="F37" i="6"/>
  <c r="D37" i="6"/>
  <c r="K37" i="6"/>
  <c r="G37" i="6"/>
  <c r="C37" i="6"/>
  <c r="E37" i="6"/>
  <c r="I37" i="6"/>
  <c r="H66" i="6"/>
  <c r="H68" i="6"/>
  <c r="H67" i="6"/>
  <c r="H65" i="6"/>
  <c r="I67" i="6"/>
  <c r="E16" i="1" s="1"/>
  <c r="I65" i="6"/>
  <c r="B16" i="1" s="1"/>
  <c r="D16" i="1" s="1"/>
  <c r="I66" i="6"/>
  <c r="G16" i="1" s="1"/>
  <c r="I68" i="6"/>
  <c r="I16" i="1" s="1"/>
  <c r="F25" i="1"/>
  <c r="H25" i="1"/>
  <c r="H51" i="6"/>
  <c r="H53" i="6"/>
  <c r="H52" i="6"/>
  <c r="H50" i="6"/>
  <c r="H19" i="6"/>
  <c r="B20" i="6" s="1"/>
  <c r="I19" i="6"/>
  <c r="H14" i="1"/>
  <c r="F14" i="1"/>
  <c r="H21" i="1"/>
  <c r="F21" i="1"/>
  <c r="D46" i="6"/>
  <c r="B26" i="1" s="1"/>
  <c r="C45" i="6"/>
  <c r="C44" i="6"/>
  <c r="D44" i="6" s="1"/>
  <c r="E26" i="1" s="1"/>
  <c r="F26" i="1" s="1"/>
  <c r="C43" i="6"/>
  <c r="D43" i="6" s="1"/>
  <c r="I26" i="1" s="1"/>
  <c r="C46" i="6"/>
  <c r="H15" i="1"/>
  <c r="F15" i="1"/>
  <c r="J15" i="6"/>
  <c r="H15" i="6"/>
  <c r="I22" i="6"/>
  <c r="I18" i="6"/>
  <c r="I17" i="6"/>
  <c r="I16" i="6"/>
  <c r="F10" i="1"/>
  <c r="H10" i="1"/>
  <c r="F23" i="1"/>
  <c r="H23" i="1"/>
  <c r="H22" i="1"/>
  <c r="H11" i="7"/>
  <c r="F22" i="1"/>
  <c r="H20" i="1"/>
  <c r="F20" i="1"/>
  <c r="F19" i="1"/>
  <c r="H19" i="1"/>
  <c r="H18" i="1"/>
  <c r="F18" i="1"/>
  <c r="B50" i="6"/>
  <c r="D50" i="6" s="1"/>
  <c r="B11" i="1" s="1"/>
  <c r="D11" i="1" s="1"/>
  <c r="G12" i="7" s="1"/>
  <c r="C52" i="6"/>
  <c r="C53" i="6"/>
  <c r="B51" i="6"/>
  <c r="D51" i="6" s="1"/>
  <c r="G11" i="1" s="1"/>
  <c r="C50" i="6"/>
  <c r="O20" i="3"/>
  <c r="O21" i="3" s="1"/>
  <c r="O22" i="3" s="1"/>
  <c r="O23" i="3" s="1"/>
  <c r="O24" i="3" s="1"/>
  <c r="O25" i="3" s="1"/>
  <c r="O26" i="3" s="1"/>
  <c r="O27" i="3" s="1"/>
  <c r="O28" i="3" s="1"/>
  <c r="O29" i="3" s="1"/>
  <c r="O30" i="3" s="1"/>
  <c r="O31" i="3" s="1"/>
  <c r="O32" i="3" s="1"/>
  <c r="O33" i="3" s="1"/>
  <c r="O34" i="3" s="1"/>
  <c r="O35" i="3" s="1"/>
  <c r="O36" i="3" s="1"/>
  <c r="B52" i="6"/>
  <c r="D52" i="6" s="1"/>
  <c r="E11" i="1" s="1"/>
  <c r="B53" i="6"/>
  <c r="D53" i="6" s="1"/>
  <c r="I11" i="1" s="1"/>
  <c r="I35" i="1" s="1"/>
  <c r="H16" i="6" l="1"/>
  <c r="H22" i="6"/>
  <c r="H16" i="1"/>
  <c r="F16" i="1"/>
  <c r="F11" i="1"/>
  <c r="H11" i="1"/>
  <c r="H35" i="1" s="1"/>
  <c r="D35" i="1"/>
  <c r="I6" i="2" s="1"/>
  <c r="F35" i="1"/>
  <c r="J17" i="6"/>
  <c r="J16" i="6"/>
  <c r="B16" i="6" s="1"/>
  <c r="J18" i="6"/>
  <c r="J22" i="6"/>
  <c r="G35" i="1" l="1"/>
  <c r="G40" i="1"/>
  <c r="B39" i="1"/>
  <c r="E35" i="1"/>
  <c r="B22" i="6"/>
  <c r="B41" i="1" s="1"/>
  <c r="B42" i="1" s="1"/>
  <c r="H17" i="6"/>
  <c r="B17" i="6"/>
  <c r="B40" i="1"/>
  <c r="B43" i="1" l="1"/>
  <c r="H18" i="6"/>
  <c r="B19" i="6" s="1"/>
  <c r="B21" i="6" s="1"/>
  <c r="B18" i="6"/>
  <c r="B28" i="6" s="1"/>
  <c r="B36" i="6"/>
  <c r="D6" i="2"/>
  <c r="C36" i="6" l="1"/>
  <c r="B38" i="6"/>
  <c r="B29" i="6"/>
  <c r="B31" i="6" s="1"/>
  <c r="B23" i="6" s="1"/>
  <c r="B24" i="6" s="1"/>
  <c r="G27" i="6" s="1"/>
  <c r="J54" i="2"/>
  <c r="J51" i="2"/>
  <c r="K51" i="2" s="1"/>
  <c r="J50" i="2"/>
  <c r="K50" i="2" s="1"/>
  <c r="I27" i="6" l="1"/>
  <c r="G39" i="1"/>
  <c r="J27" i="6"/>
  <c r="P13" i="6"/>
  <c r="Q13" i="6" s="1"/>
  <c r="P5" i="6"/>
  <c r="Q5" i="6" s="1"/>
  <c r="C3" i="2"/>
  <c r="K54" i="2"/>
  <c r="D59" i="2"/>
  <c r="D36" i="6"/>
  <c r="C38" i="6"/>
  <c r="P14" i="6" l="1"/>
  <c r="Q14" i="6" s="1"/>
  <c r="P6" i="6"/>
  <c r="Q6" i="6" s="1"/>
  <c r="D3" i="2"/>
  <c r="D4" i="2" s="1"/>
  <c r="E36" i="6"/>
  <c r="D38" i="6"/>
  <c r="J28" i="6"/>
  <c r="J29" i="6"/>
  <c r="H27" i="6"/>
  <c r="I29" i="6"/>
  <c r="I28" i="6"/>
  <c r="F36" i="6" l="1"/>
  <c r="E38" i="6"/>
  <c r="B25" i="6"/>
  <c r="G11" i="7" s="1"/>
  <c r="G30" i="6"/>
  <c r="H31" i="6" s="1"/>
  <c r="P15" i="6"/>
  <c r="Q15" i="6" s="1"/>
  <c r="P7" i="6"/>
  <c r="Q7" i="6" s="1"/>
  <c r="E3" i="2"/>
  <c r="K4" i="2"/>
  <c r="I4" i="2"/>
  <c r="G4" i="2"/>
  <c r="E4" i="2"/>
  <c r="L4" i="2"/>
  <c r="J4" i="2"/>
  <c r="F4" i="2"/>
  <c r="H4" i="2"/>
  <c r="I11" i="7" l="1"/>
  <c r="G13" i="7"/>
  <c r="G36" i="6"/>
  <c r="F38" i="6"/>
  <c r="P22" i="6"/>
  <c r="Q22" i="6" s="1"/>
  <c r="P8" i="6"/>
  <c r="Q8" i="6" s="1"/>
  <c r="Q9" i="6" s="1"/>
  <c r="P10" i="6" s="1"/>
  <c r="J38" i="2" s="1"/>
  <c r="K38" i="2" s="1"/>
  <c r="J42" i="2"/>
  <c r="K42" i="2" s="1"/>
  <c r="P16" i="6"/>
  <c r="Q16" i="6" s="1"/>
  <c r="F3" i="2"/>
  <c r="H36" i="6" l="1"/>
  <c r="G38" i="6"/>
  <c r="P24" i="6"/>
  <c r="Q24" i="6" s="1"/>
  <c r="P17" i="6"/>
  <c r="Q17" i="6" s="1"/>
  <c r="Q18" i="6" s="1"/>
  <c r="P19" i="6" s="1"/>
  <c r="J39" i="2" s="1"/>
  <c r="K39" i="2" s="1"/>
  <c r="G3" i="2"/>
  <c r="P27" i="6" l="1"/>
  <c r="Q27" i="6" s="1"/>
  <c r="Q28" i="6" s="1"/>
  <c r="P29" i="6" s="1"/>
  <c r="J40" i="2" s="1"/>
  <c r="K40" i="2" s="1"/>
  <c r="H3" i="2"/>
  <c r="I36" i="6"/>
  <c r="H38" i="6"/>
  <c r="I3" i="2" s="1"/>
  <c r="J36" i="6" l="1"/>
  <c r="I38" i="6"/>
  <c r="J3" i="2" s="1"/>
  <c r="K36" i="6" l="1"/>
  <c r="K38" i="6" s="1"/>
  <c r="J38" i="6"/>
  <c r="K3" i="2" s="1"/>
  <c r="L3" i="2" l="1"/>
  <c r="O33" i="6"/>
  <c r="O35" i="6" l="1"/>
  <c r="J48" i="2" s="1"/>
  <c r="K46" i="2" s="1"/>
  <c r="D57" i="2" s="1"/>
  <c r="J46" i="2"/>
</calcChain>
</file>

<file path=xl/comments1.xml><?xml version="1.0" encoding="utf-8"?>
<comments xmlns="http://schemas.openxmlformats.org/spreadsheetml/2006/main">
  <authors>
    <author>Dear User!</author>
  </authors>
  <commentList>
    <comment ref="B9" authorId="0" shapeId="0">
      <text>
        <r>
          <rPr>
            <b/>
            <sz val="8"/>
            <color indexed="81"/>
            <rFont val="Tahoma"/>
            <charset val="178"/>
          </rPr>
          <t>Dear User!:</t>
        </r>
        <r>
          <rPr>
            <sz val="8"/>
            <color indexed="81"/>
            <rFont val="Tahoma"/>
            <charset val="178"/>
          </rPr>
          <t xml:space="preserve">
WRITE "GRAIN" IF YOUR CARGO IS GRAIN TYPE,OTHERWISE WRITE "OTHER"
</t>
        </r>
      </text>
    </comment>
    <comment ref="G11" authorId="0" shapeId="0">
      <text>
        <r>
          <rPr>
            <b/>
            <sz val="8"/>
            <color indexed="81"/>
            <rFont val="Tahoma"/>
          </rPr>
          <t>CALCULATED DISPLACEMENT</t>
        </r>
        <r>
          <rPr>
            <sz val="8"/>
            <color indexed="81"/>
            <rFont val="Tahoma"/>
          </rPr>
          <t xml:space="preserve">
</t>
        </r>
      </text>
    </comment>
    <comment ref="H11" authorId="0" shapeId="0">
      <text>
        <r>
          <rPr>
            <b/>
            <sz val="8"/>
            <color indexed="81"/>
            <rFont val="Tahoma"/>
            <family val="2"/>
          </rPr>
          <t>WING 3P+V/LWITHOUT BALLAST</t>
        </r>
        <r>
          <rPr>
            <sz val="8"/>
            <color indexed="81"/>
            <rFont val="Tahoma"/>
          </rPr>
          <t xml:space="preserve">
</t>
        </r>
      </text>
    </comment>
    <comment ref="I11" authorId="0" shapeId="0">
      <text>
        <r>
          <rPr>
            <b/>
            <sz val="8"/>
            <color indexed="81"/>
            <rFont val="Tahoma"/>
            <family val="2"/>
          </rPr>
          <t>CARGO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<sst xmlns="http://schemas.openxmlformats.org/spreadsheetml/2006/main" count="506" uniqueCount="292">
  <si>
    <t>COMPARTMENT</t>
  </si>
  <si>
    <t>CARGO IN HOLD</t>
  </si>
  <si>
    <t>CARGO ON DECK</t>
  </si>
  <si>
    <t>FPT</t>
  </si>
  <si>
    <t>DEEP TANK</t>
  </si>
  <si>
    <t>DB 1 P</t>
  </si>
  <si>
    <t>DB 1 S</t>
  </si>
  <si>
    <t>DB 2 P</t>
  </si>
  <si>
    <t>DB 2 S</t>
  </si>
  <si>
    <t>DB 3 P</t>
  </si>
  <si>
    <t>DB 3 S</t>
  </si>
  <si>
    <t>WT1 P</t>
  </si>
  <si>
    <t>WT1 S</t>
  </si>
  <si>
    <t>WT2 P</t>
  </si>
  <si>
    <t>WT2 S</t>
  </si>
  <si>
    <t>WT3 P</t>
  </si>
  <si>
    <t>WT3 S</t>
  </si>
  <si>
    <t>UNPUMPABLE W.</t>
  </si>
  <si>
    <t>PORTABLE WATER</t>
  </si>
  <si>
    <t>MARINE GASOIL</t>
  </si>
  <si>
    <t>LUB. OIL</t>
  </si>
  <si>
    <t>SEWAGE TK</t>
  </si>
  <si>
    <t>LIGHT SHIP</t>
  </si>
  <si>
    <t>GRAIN B/H</t>
  </si>
  <si>
    <t>PROVISION</t>
  </si>
  <si>
    <t xml:space="preserve">CREW EFFECTS </t>
  </si>
  <si>
    <t>STORES</t>
  </si>
  <si>
    <t>CONSTANT</t>
  </si>
  <si>
    <t>TOTAL</t>
  </si>
  <si>
    <t>M3</t>
  </si>
  <si>
    <t>R.D</t>
  </si>
  <si>
    <t>WEIGHT</t>
  </si>
  <si>
    <t>KG</t>
  </si>
  <si>
    <t>MOMv</t>
  </si>
  <si>
    <t>LCG</t>
  </si>
  <si>
    <t>FSM</t>
  </si>
  <si>
    <t>MOML</t>
  </si>
  <si>
    <t>KG=MOMv/DISPL.</t>
  </si>
  <si>
    <t>FSE=FSM/DISP.</t>
  </si>
  <si>
    <r>
      <t>KM</t>
    </r>
    <r>
      <rPr>
        <sz val="5"/>
        <rFont val="Arial"/>
        <family val="2"/>
      </rPr>
      <t>t</t>
    </r>
    <r>
      <rPr>
        <sz val="8"/>
        <rFont val="Arial"/>
        <family val="2"/>
      </rPr>
      <t xml:space="preserve"> (HY.STATIC TABLE)</t>
    </r>
  </si>
  <si>
    <t>GMs</t>
  </si>
  <si>
    <r>
      <t>GM</t>
    </r>
    <r>
      <rPr>
        <sz val="5"/>
        <rFont val="Arial"/>
        <family val="2"/>
      </rPr>
      <t>f</t>
    </r>
  </si>
  <si>
    <t>TRIM</t>
  </si>
  <si>
    <t>MEAN DRAFT</t>
  </si>
  <si>
    <t>TRIMMING FACTOR FWD</t>
  </si>
  <si>
    <t>TRIMMING FACTOR AFT</t>
  </si>
  <si>
    <t>DRAFT A</t>
  </si>
  <si>
    <t>DRAFT F</t>
  </si>
  <si>
    <t>TRIM BY ASTERN</t>
  </si>
  <si>
    <t>EVEN KEEL</t>
  </si>
  <si>
    <t>TRIM BY HEAD</t>
  </si>
  <si>
    <t>HEEL</t>
  </si>
  <si>
    <t>GZ</t>
  </si>
  <si>
    <t>m</t>
  </si>
  <si>
    <t>LCG=MOMv/DISPL.</t>
  </si>
  <si>
    <t>C.O.=DISPL. *BG/MCTC x 100</t>
  </si>
  <si>
    <t>GM</t>
  </si>
  <si>
    <t>TRIM=</t>
  </si>
  <si>
    <t>DOCK WATER  (RDdw)</t>
  </si>
  <si>
    <t>DWA=FWA(RDdw-1.025)/0.025*1000</t>
  </si>
  <si>
    <t>STABILITY CALCULATION</t>
  </si>
  <si>
    <t>M.V:</t>
  </si>
  <si>
    <t>VOYAGE NO:</t>
  </si>
  <si>
    <t>DATE:</t>
  </si>
  <si>
    <t>CHIEF OFFICER</t>
  </si>
  <si>
    <t>MASTER</t>
  </si>
  <si>
    <t>Draft (1)</t>
  </si>
  <si>
    <t>Displ. (2)</t>
  </si>
  <si>
    <t>KM (3)</t>
  </si>
  <si>
    <t>MCTC (4)</t>
  </si>
  <si>
    <t>LCB (5)</t>
  </si>
  <si>
    <t>TPC (6)</t>
  </si>
  <si>
    <t>TF AFT (7)</t>
  </si>
  <si>
    <t>TF FWD (8)</t>
  </si>
  <si>
    <t>DRAFT (1)</t>
  </si>
  <si>
    <t>Displ.(2)</t>
  </si>
  <si>
    <t>10 (3)</t>
  </si>
  <si>
    <t>20 (4)</t>
  </si>
  <si>
    <t>30(5)</t>
  </si>
  <si>
    <t>40 (6)</t>
  </si>
  <si>
    <t>50 (7)</t>
  </si>
  <si>
    <t>60 (8)</t>
  </si>
  <si>
    <t>70 (9)</t>
  </si>
  <si>
    <t>80 (10)</t>
  </si>
  <si>
    <t>90 (11)</t>
  </si>
  <si>
    <t>draft F S</t>
  </si>
  <si>
    <t>draft F P</t>
  </si>
  <si>
    <t>draft M S</t>
  </si>
  <si>
    <t>draft M P</t>
  </si>
  <si>
    <t>draft A S</t>
  </si>
  <si>
    <t>draft A P</t>
  </si>
  <si>
    <t>DRAFT M</t>
  </si>
  <si>
    <t>DRAFT CORR</t>
  </si>
  <si>
    <t>Actual Draft</t>
  </si>
  <si>
    <t>True Trim</t>
  </si>
  <si>
    <t>Mean of Mean</t>
  </si>
  <si>
    <t>TMD</t>
  </si>
  <si>
    <t>LBP</t>
  </si>
  <si>
    <t>Displacement</t>
  </si>
  <si>
    <t>REF</t>
  </si>
  <si>
    <t>LCB</t>
  </si>
  <si>
    <t>TPC</t>
  </si>
  <si>
    <t>MOM - 50</t>
  </si>
  <si>
    <t>MOM + 50</t>
  </si>
  <si>
    <t>DMZ</t>
  </si>
  <si>
    <t>TRIM CORR</t>
  </si>
  <si>
    <t>1ST CORR</t>
  </si>
  <si>
    <t>2ND CORR</t>
  </si>
  <si>
    <t>F.Displacement</t>
  </si>
  <si>
    <t>Souynding(1)</t>
  </si>
  <si>
    <t>DIESEL OIL TANK</t>
  </si>
  <si>
    <t>ANGLE OF HEEL</t>
  </si>
  <si>
    <t>SIN HEEL</t>
  </si>
  <si>
    <t>KN</t>
  </si>
  <si>
    <t>KG=</t>
  </si>
  <si>
    <t>DISPLACEMENT=</t>
  </si>
  <si>
    <t>MT</t>
  </si>
  <si>
    <t>VOY NO:</t>
  </si>
  <si>
    <t xml:space="preserve">PORT OF LOADING: </t>
  </si>
  <si>
    <t xml:space="preserve">PORT OF DISCHARGE: </t>
  </si>
  <si>
    <t>NAME OF V/L</t>
  </si>
  <si>
    <t>VOY.NO</t>
  </si>
  <si>
    <t>DATE</t>
  </si>
  <si>
    <t>PORT LOADING</t>
  </si>
  <si>
    <t>PORT DISCH.</t>
  </si>
  <si>
    <t>CH/OFF</t>
  </si>
  <si>
    <t>MOM +/- 50</t>
  </si>
  <si>
    <t>KM</t>
  </si>
  <si>
    <t>KG(4)</t>
  </si>
  <si>
    <t>FSM(5)</t>
  </si>
  <si>
    <t>FORE PK TANK</t>
  </si>
  <si>
    <t>WEIGHT(2)</t>
  </si>
  <si>
    <t>LCG(3)</t>
  </si>
  <si>
    <t>TST 2 P</t>
  </si>
  <si>
    <t>TST 2 S</t>
  </si>
  <si>
    <t>TST 3 P &amp;S</t>
  </si>
  <si>
    <t>DB 1 P&amp;S</t>
  </si>
  <si>
    <t>DB 2 P&amp;S</t>
  </si>
  <si>
    <t>DB 3 P&amp;S</t>
  </si>
  <si>
    <t>TST 1 P&amp;S</t>
  </si>
  <si>
    <t>AFT PK TANK</t>
  </si>
  <si>
    <t>cbm</t>
  </si>
  <si>
    <t>cbm(2)</t>
  </si>
  <si>
    <t>WEIGHT(3)</t>
  </si>
  <si>
    <t>LCG(4)</t>
  </si>
  <si>
    <t>KG(5)</t>
  </si>
  <si>
    <t>FSM(6)</t>
  </si>
  <si>
    <t>DB 1 P(f=full)</t>
  </si>
  <si>
    <t>DB 1 S(f=full)</t>
  </si>
  <si>
    <t>DB 2 P(f=full)</t>
  </si>
  <si>
    <t>DB 2 S(f=full)</t>
  </si>
  <si>
    <t>DB 3 P(f=full)</t>
  </si>
  <si>
    <t>DB 3 S(f=full)</t>
  </si>
  <si>
    <t>WT1 P(f=full)</t>
  </si>
  <si>
    <t>WT1 S(f=full)</t>
  </si>
  <si>
    <t>WT2 P(f=full)</t>
  </si>
  <si>
    <t>WT3 P(f=full)</t>
  </si>
  <si>
    <t>WT3 S(f=full)</t>
  </si>
  <si>
    <t>FPT(f=full)</t>
  </si>
  <si>
    <t>sounding(3)</t>
  </si>
  <si>
    <t>WEIGHT(1)</t>
  </si>
  <si>
    <t>DO</t>
  </si>
  <si>
    <t>FP TK</t>
  </si>
  <si>
    <t>FP TK +0.1</t>
  </si>
  <si>
    <t>SNDNG</t>
  </si>
  <si>
    <t>DEEP</t>
  </si>
  <si>
    <t>DEEP+0.1</t>
  </si>
  <si>
    <t>DB1P</t>
  </si>
  <si>
    <t>DB1P +0.1</t>
  </si>
  <si>
    <t>DB1S</t>
  </si>
  <si>
    <t>DB1S +0.1</t>
  </si>
  <si>
    <t>DENSITY TK</t>
  </si>
  <si>
    <t>DENSITY DO</t>
  </si>
  <si>
    <t>DENSITY FW</t>
  </si>
  <si>
    <t>V</t>
  </si>
  <si>
    <t>DB2P</t>
  </si>
  <si>
    <t>DB2P +0.1</t>
  </si>
  <si>
    <t>DB2S</t>
  </si>
  <si>
    <t>DB2S +0.1</t>
  </si>
  <si>
    <t>DB3P</t>
  </si>
  <si>
    <t>DB3P +0.1</t>
  </si>
  <si>
    <t>DB3S</t>
  </si>
  <si>
    <t>DB3S +0.1</t>
  </si>
  <si>
    <t>WT 1P</t>
  </si>
  <si>
    <t>WT 1P+0.1</t>
  </si>
  <si>
    <t>WT 1S</t>
  </si>
  <si>
    <t>WT 1S+0.1</t>
  </si>
  <si>
    <t>WT 2P</t>
  </si>
  <si>
    <t>WT 2P+0.1</t>
  </si>
  <si>
    <t>WT 2S</t>
  </si>
  <si>
    <t>WT 2S+0.1</t>
  </si>
  <si>
    <t>WT2 S(f=full)</t>
  </si>
  <si>
    <t>WT 3P</t>
  </si>
  <si>
    <t>WT 3P+0.1</t>
  </si>
  <si>
    <t>WT 3S</t>
  </si>
  <si>
    <t>WT 3S+0.1</t>
  </si>
  <si>
    <t>AFT PK</t>
  </si>
  <si>
    <t>DO +2</t>
  </si>
  <si>
    <t>AFT PK+1</t>
  </si>
  <si>
    <t>kg</t>
  </si>
  <si>
    <t>angle of heel</t>
  </si>
  <si>
    <t>co-ordinate</t>
  </si>
  <si>
    <t>MULTIPLE</t>
  </si>
  <si>
    <t>h</t>
  </si>
  <si>
    <t>AREA</t>
  </si>
  <si>
    <t>(i)</t>
  </si>
  <si>
    <t>(ii)</t>
  </si>
  <si>
    <t>(iii)</t>
  </si>
  <si>
    <t>Simpson's Rule</t>
  </si>
  <si>
    <t>MOM</t>
  </si>
  <si>
    <t>MOM+0.1</t>
  </si>
  <si>
    <t>FWA</t>
  </si>
  <si>
    <t>DW</t>
  </si>
  <si>
    <t>HOLD NO 1:</t>
  </si>
  <si>
    <t>DRAFT FWD   :</t>
  </si>
  <si>
    <t>M</t>
  </si>
  <si>
    <t>ACCOM</t>
  </si>
  <si>
    <t>HOLD NO 2:</t>
  </si>
  <si>
    <t>DRAFT AFT    :</t>
  </si>
  <si>
    <t>LOADING PORT:</t>
  </si>
  <si>
    <t>ON DECK   :</t>
  </si>
  <si>
    <t>MEAN DRAFT :</t>
  </si>
  <si>
    <t>DISCH.PORT:</t>
  </si>
  <si>
    <t xml:space="preserve">TOTAL      : </t>
  </si>
  <si>
    <t>TOTAL CONTAINER:140X20"  PRESENT LOADING DISTRIBUTION :5.3 M2 TOTAL HOLD CAPACITY:2885 MT SUMMER DWT:2885 MT</t>
  </si>
  <si>
    <t>HOLD NO: 1</t>
  </si>
  <si>
    <t>20X10.2X8     M</t>
  </si>
  <si>
    <t>HOLD NO: 2</t>
  </si>
  <si>
    <t>30.5X10.2X8  M</t>
  </si>
  <si>
    <t>ENGINE  ROOM</t>
  </si>
  <si>
    <t>DB-3</t>
  </si>
  <si>
    <t>DB-1</t>
  </si>
  <si>
    <t>TOTAL CARGO NO2:</t>
  </si>
  <si>
    <t>TOTAL CARGO NO1:</t>
  </si>
  <si>
    <t>AS PER MERCHANT SHIPPING ACT THE FOLLOWING CRITERIA SHALL BE MET:</t>
  </si>
  <si>
    <t>THE AREA UNDER THE CURVE OF RIGHTING LEVERS9GZ CURVE) SHALL NOT BE</t>
  </si>
  <si>
    <t>LESS THAN :</t>
  </si>
  <si>
    <t>(i):</t>
  </si>
  <si>
    <t>METER-RADIANS UP TO AN ANGLE OF 30 DEGREES.</t>
  </si>
  <si>
    <t>(ii):</t>
  </si>
  <si>
    <t>METER-RADIANS UP TO AN ANGLE OF 40 DEGREES.</t>
  </si>
  <si>
    <t>(iii):</t>
  </si>
  <si>
    <t>METER-RADIANS BETWEEN ANGLES OF HEEL OF 30&amp;40</t>
  </si>
  <si>
    <t>a)</t>
  </si>
  <si>
    <t>b)</t>
  </si>
  <si>
    <t>THE RIGHTING LEVER(GZ) SHALL BE AT LEAST</t>
  </si>
  <si>
    <t>m AT AN</t>
  </si>
  <si>
    <t>ANGEL OF HEEL EQUAL TO OR GREATER THAN 30 DEGREES</t>
  </si>
  <si>
    <t>c)</t>
  </si>
  <si>
    <t>MAS GZ</t>
  </si>
  <si>
    <t>AT</t>
  </si>
  <si>
    <t>DEGREES.</t>
  </si>
  <si>
    <t>d)</t>
  </si>
  <si>
    <t>THE  INITIAL  GM  SHALL  NOT  BE LESS THEN</t>
  </si>
  <si>
    <t xml:space="preserve">m </t>
  </si>
  <si>
    <r>
      <t>IN  CASE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TIMBER DECK CARGO</t>
    </r>
    <r>
      <rPr>
        <sz val="7"/>
        <rFont val="Arial"/>
        <charset val="178"/>
      </rPr>
      <t xml:space="preserve">  NOT LESS  THAN</t>
    </r>
  </si>
  <si>
    <r>
      <t xml:space="preserve">IN  CASE </t>
    </r>
    <r>
      <rPr>
        <b/>
        <sz val="10"/>
        <rFont val="Arial"/>
        <family val="2"/>
      </rPr>
      <t>GRAIN</t>
    </r>
    <r>
      <rPr>
        <sz val="8"/>
        <rFont val="Arial"/>
        <charset val="178"/>
      </rPr>
      <t xml:space="preserve">  NOT LESS  THAN</t>
    </r>
  </si>
  <si>
    <t>TOTAL CARGO</t>
  </si>
  <si>
    <t>DWA</t>
  </si>
  <si>
    <t>mm</t>
  </si>
  <si>
    <t>metre</t>
  </si>
  <si>
    <t>MOM+DWA</t>
  </si>
  <si>
    <t>FINAL DISPL.</t>
  </si>
  <si>
    <t>LCB-LCG=</t>
  </si>
  <si>
    <t>CARGO</t>
  </si>
  <si>
    <t>e)</t>
  </si>
  <si>
    <t>RESULT</t>
  </si>
  <si>
    <t>UNSTABLE FOR GRAIN</t>
  </si>
  <si>
    <t>MASTER:</t>
  </si>
  <si>
    <t>THE MAX.GZ SHALL ACQUIRE AT ANGLE OF HEEL NOT LESS THEN</t>
  </si>
  <si>
    <t>C/O:</t>
  </si>
  <si>
    <t>HOLD NO1:</t>
  </si>
  <si>
    <t>HOLD NO2:</t>
  </si>
  <si>
    <t>ON DECK:</t>
  </si>
  <si>
    <t>HOLD DIMENSION:</t>
  </si>
  <si>
    <t>DB.2</t>
  </si>
  <si>
    <t>SUMMER DRAFT:</t>
  </si>
  <si>
    <t>mt</t>
  </si>
  <si>
    <t>PERMISSIBLE LOAD ON TANK TOP:11T/M2 &amp;   ON HATCH COVER:1.6T/M2</t>
  </si>
  <si>
    <t>SABRINA</t>
  </si>
  <si>
    <t>CARGO PLAN     M.V SABRINA</t>
  </si>
  <si>
    <t>BARLEY IN BULK</t>
  </si>
  <si>
    <t>30.03.2012</t>
  </si>
  <si>
    <t>WT.: 1455.114 MT.</t>
  </si>
  <si>
    <t>WT.: 970.076 MT.</t>
  </si>
  <si>
    <t>`</t>
  </si>
  <si>
    <t>CAPT.P.SLIZHEVS'KYI</t>
  </si>
  <si>
    <t>R.LAGOSHNIAK</t>
  </si>
  <si>
    <t>OLYA</t>
  </si>
  <si>
    <t>AMIRABAD</t>
  </si>
  <si>
    <t>COKES</t>
  </si>
  <si>
    <t>07.04.2013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</si>
</sst>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[$-1020000]B1d\ mmmm\ yyyy;@"/>
    <numFmt numFmtId="167" formatCode="#,##0.000"/>
  </numFmts>
  <fonts count="39" x14ac:knownFonts="1">
    <font>
      <sz val="10"/>
      <name val="Arial"/>
      <charset val="178"/>
    </font>
    <font>
      <sz val="10"/>
      <name val="Arial"/>
      <charset val="178"/>
    </font>
    <font>
      <sz val="5"/>
      <name val="Arial"/>
      <family val="2"/>
    </font>
    <font>
      <sz val="8"/>
      <name val="Arial"/>
      <charset val="178"/>
    </font>
    <font>
      <b/>
      <sz val="8"/>
      <name val="Arial"/>
      <charset val="178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u/>
      <sz val="10"/>
      <color indexed="12"/>
      <name val="Arial"/>
      <charset val="178"/>
    </font>
    <font>
      <b/>
      <sz val="10"/>
      <name val="Arial"/>
      <family val="2"/>
    </font>
    <font>
      <sz val="8"/>
      <color indexed="10"/>
      <name val="Arial"/>
      <charset val="178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12"/>
      <color indexed="10"/>
      <name val="Arial"/>
      <family val="2"/>
    </font>
    <font>
      <sz val="14"/>
      <name val="Arial"/>
      <charset val="178"/>
    </font>
    <font>
      <b/>
      <sz val="12"/>
      <name val="Arial"/>
      <family val="2"/>
    </font>
    <font>
      <sz val="10"/>
      <color indexed="10"/>
      <name val="Arial"/>
      <charset val="178"/>
    </font>
    <font>
      <b/>
      <sz val="10"/>
      <name val="Arial"/>
      <charset val="178"/>
    </font>
    <font>
      <sz val="7"/>
      <name val="Arial"/>
      <charset val="178"/>
    </font>
    <font>
      <b/>
      <sz val="10"/>
      <color indexed="11"/>
      <name val="Arial"/>
      <family val="2"/>
    </font>
    <font>
      <sz val="8"/>
      <color indexed="81"/>
      <name val="Tahoma"/>
      <charset val="178"/>
    </font>
    <font>
      <b/>
      <sz val="8"/>
      <color indexed="81"/>
      <name val="Tahoma"/>
      <charset val="178"/>
    </font>
    <font>
      <b/>
      <sz val="24"/>
      <color indexed="12"/>
      <name val="Arial"/>
      <family val="2"/>
    </font>
    <font>
      <b/>
      <sz val="16"/>
      <name val="Arial"/>
      <family val="2"/>
    </font>
    <font>
      <sz val="2"/>
      <color indexed="9"/>
      <name val="Arial"/>
      <charset val="178"/>
    </font>
    <font>
      <b/>
      <sz val="16"/>
      <color indexed="9"/>
      <name val="Arial"/>
      <family val="2"/>
    </font>
    <font>
      <b/>
      <i/>
      <sz val="16"/>
      <color indexed="8"/>
      <name val="Arial"/>
      <family val="2"/>
    </font>
    <font>
      <b/>
      <sz val="16"/>
      <color indexed="8"/>
      <name val="Arial"/>
      <family val="2"/>
    </font>
    <font>
      <sz val="7"/>
      <name val="Arial"/>
      <family val="2"/>
    </font>
    <font>
      <sz val="9"/>
      <name val="Arial"/>
      <family val="2"/>
    </font>
    <font>
      <sz val="8"/>
      <color indexed="81"/>
      <name val="Tahoma"/>
    </font>
    <font>
      <b/>
      <sz val="8"/>
      <color indexed="81"/>
      <name val="Tahoma"/>
    </font>
    <font>
      <b/>
      <sz val="8"/>
      <color indexed="81"/>
      <name val="Tahoma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charset val="178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9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39">
    <xf numFmtId="0" fontId="0" fillId="0" borderId="0" xfId="0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5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horizontal="right" vertical="center" shrinkToFit="1"/>
    </xf>
    <xf numFmtId="0" fontId="0" fillId="2" borderId="0" xfId="0" applyFill="1" applyAlignment="1">
      <alignment horizontal="left" vertical="center" shrinkToFit="1"/>
    </xf>
    <xf numFmtId="0" fontId="0" fillId="2" borderId="0" xfId="0" applyFill="1" applyAlignment="1">
      <alignment vertical="center" shrinkToFit="1"/>
    </xf>
    <xf numFmtId="0" fontId="0" fillId="3" borderId="0" xfId="0" applyFill="1" applyAlignment="1">
      <alignment vertical="center" shrinkToFit="1"/>
    </xf>
    <xf numFmtId="0" fontId="0" fillId="3" borderId="0" xfId="0" applyFill="1" applyAlignment="1">
      <alignment horizontal="center" vertical="center" shrinkToFit="1"/>
    </xf>
    <xf numFmtId="0" fontId="0" fillId="4" borderId="0" xfId="0" applyFill="1" applyAlignment="1">
      <alignment horizontal="center" vertical="center" shrinkToFit="1"/>
    </xf>
    <xf numFmtId="0" fontId="0" fillId="5" borderId="0" xfId="0" applyFill="1" applyAlignment="1">
      <alignment vertical="center" shrinkToFit="1"/>
    </xf>
    <xf numFmtId="0" fontId="0" fillId="5" borderId="0" xfId="0" applyFill="1" applyAlignment="1">
      <alignment horizontal="center" vertical="center" shrinkToFit="1"/>
    </xf>
    <xf numFmtId="0" fontId="0" fillId="6" borderId="0" xfId="0" applyFill="1" applyAlignment="1">
      <alignment vertical="center" shrinkToFit="1"/>
    </xf>
    <xf numFmtId="0" fontId="0" fillId="6" borderId="0" xfId="0" applyFill="1" applyAlignment="1">
      <alignment horizontal="center" vertical="center" shrinkToFit="1"/>
    </xf>
    <xf numFmtId="0" fontId="0" fillId="7" borderId="0" xfId="0" applyFill="1" applyAlignment="1">
      <alignment vertical="center" shrinkToFit="1"/>
    </xf>
    <xf numFmtId="164" fontId="0" fillId="0" borderId="0" xfId="0" applyNumberFormat="1" applyAlignment="1">
      <alignment vertical="center" shrinkToFit="1"/>
    </xf>
    <xf numFmtId="0" fontId="9" fillId="8" borderId="0" xfId="0" applyFont="1" applyFill="1" applyAlignment="1">
      <alignment vertical="center" shrinkToFit="1"/>
    </xf>
    <xf numFmtId="164" fontId="9" fillId="8" borderId="0" xfId="0" applyNumberFormat="1" applyFont="1" applyFill="1" applyAlignment="1">
      <alignment vertical="center" shrinkToFit="1"/>
    </xf>
    <xf numFmtId="0" fontId="0" fillId="9" borderId="0" xfId="0" applyFill="1" applyAlignment="1">
      <alignment horizontal="center" vertical="center" shrinkToFit="1"/>
    </xf>
    <xf numFmtId="2" fontId="11" fillId="0" borderId="0" xfId="1" applyNumberFormat="1" applyFont="1" applyAlignment="1" applyProtection="1">
      <alignment horizontal="center" shrinkToFit="1"/>
    </xf>
    <xf numFmtId="2" fontId="11" fillId="0" borderId="0" xfId="0" applyNumberFormat="1" applyFont="1" applyAlignment="1">
      <alignment horizontal="center" shrinkToFit="1"/>
    </xf>
    <xf numFmtId="2" fontId="11" fillId="0" borderId="0" xfId="0" applyNumberFormat="1" applyFont="1" applyAlignment="1">
      <alignment horizontal="center" vertical="center" shrinkToFit="1"/>
    </xf>
    <xf numFmtId="165" fontId="11" fillId="0" borderId="0" xfId="0" applyNumberFormat="1" applyFont="1" applyAlignment="1">
      <alignment horizontal="center" shrinkToFit="1"/>
    </xf>
    <xf numFmtId="165" fontId="11" fillId="0" borderId="0" xfId="0" applyNumberFormat="1" applyFont="1" applyAlignment="1">
      <alignment horizontal="center" vertical="center" shrinkToFit="1"/>
    </xf>
    <xf numFmtId="2" fontId="0" fillId="9" borderId="0" xfId="0" applyNumberFormat="1" applyFill="1" applyAlignment="1">
      <alignment horizontal="center" vertical="center" shrinkToFit="1"/>
    </xf>
    <xf numFmtId="167" fontId="12" fillId="9" borderId="0" xfId="0" applyNumberFormat="1" applyFont="1" applyFill="1" applyAlignment="1">
      <alignment horizontal="center" vertical="center" shrinkToFit="1"/>
    </xf>
    <xf numFmtId="0" fontId="12" fillId="9" borderId="0" xfId="0" applyFont="1" applyFill="1" applyAlignment="1">
      <alignment horizontal="center" vertical="center" shrinkToFi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64" fontId="9" fillId="0" borderId="5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/>
    </xf>
    <xf numFmtId="0" fontId="9" fillId="10" borderId="7" xfId="0" applyFont="1" applyFill="1" applyBorder="1"/>
    <xf numFmtId="0" fontId="13" fillId="10" borderId="8" xfId="0" applyFont="1" applyFill="1" applyBorder="1" applyAlignment="1">
      <alignment horizontal="right"/>
    </xf>
    <xf numFmtId="0" fontId="9" fillId="10" borderId="9" xfId="0" applyFont="1" applyFill="1" applyBorder="1"/>
    <xf numFmtId="0" fontId="9" fillId="10" borderId="7" xfId="0" applyFont="1" applyFill="1" applyBorder="1" applyAlignment="1">
      <alignment horizontal="right"/>
    </xf>
    <xf numFmtId="2" fontId="9" fillId="10" borderId="8" xfId="0" applyNumberFormat="1" applyFont="1" applyFill="1" applyBorder="1" applyAlignment="1">
      <alignment horizontal="center"/>
    </xf>
    <xf numFmtId="0" fontId="9" fillId="10" borderId="9" xfId="0" applyFont="1" applyFill="1" applyBorder="1" applyAlignment="1">
      <alignment horizontal="left"/>
    </xf>
    <xf numFmtId="2" fontId="0" fillId="10" borderId="0" xfId="0" applyNumberFormat="1" applyFill="1" applyAlignment="1">
      <alignment vertical="center" shrinkToFit="1"/>
    </xf>
    <xf numFmtId="0" fontId="0" fillId="11" borderId="0" xfId="0" applyFill="1" applyAlignment="1">
      <alignment vertical="center" shrinkToFit="1"/>
    </xf>
    <xf numFmtId="0" fontId="0" fillId="11" borderId="0" xfId="0" applyFill="1" applyAlignment="1">
      <alignment horizontal="center" vertical="center" shrinkToFit="1"/>
    </xf>
    <xf numFmtId="2" fontId="11" fillId="0" borderId="0" xfId="0" applyNumberFormat="1" applyFont="1" applyFill="1" applyAlignment="1">
      <alignment horizontal="center" shrinkToFit="1"/>
    </xf>
    <xf numFmtId="2" fontId="11" fillId="0" borderId="0" xfId="0" applyNumberFormat="1" applyFont="1" applyAlignment="1">
      <alignment horizontal="left" shrinkToFit="1"/>
    </xf>
    <xf numFmtId="0" fontId="0" fillId="9" borderId="0" xfId="0" applyFill="1" applyAlignment="1">
      <alignment vertical="center" shrinkToFit="1"/>
    </xf>
    <xf numFmtId="0" fontId="9" fillId="9" borderId="0" xfId="0" applyFont="1" applyFill="1" applyAlignment="1">
      <alignment vertical="center" shrinkToFit="1"/>
    </xf>
    <xf numFmtId="0" fontId="9" fillId="9" borderId="0" xfId="0" applyFont="1" applyFill="1" applyAlignment="1">
      <alignment horizontal="center" vertical="center" shrinkToFit="1"/>
    </xf>
    <xf numFmtId="2" fontId="0" fillId="9" borderId="0" xfId="0" applyNumberFormat="1" applyFill="1" applyAlignment="1">
      <alignment vertical="center" shrinkToFit="1"/>
    </xf>
    <xf numFmtId="164" fontId="9" fillId="9" borderId="0" xfId="0" applyNumberFormat="1" applyFont="1" applyFill="1" applyAlignment="1">
      <alignment horizontal="center" vertical="center" shrinkToFit="1"/>
    </xf>
    <xf numFmtId="164" fontId="12" fillId="9" borderId="0" xfId="0" applyNumberFormat="1" applyFont="1" applyFill="1" applyAlignment="1">
      <alignment horizontal="center" vertical="center" shrinkToFit="1"/>
    </xf>
    <xf numFmtId="164" fontId="9" fillId="9" borderId="0" xfId="0" applyNumberFormat="1" applyFont="1" applyFill="1" applyAlignment="1">
      <alignment vertical="center" shrinkToFit="1"/>
    </xf>
    <xf numFmtId="164" fontId="3" fillId="0" borderId="5" xfId="0" applyNumberFormat="1" applyFont="1" applyFill="1" applyBorder="1" applyAlignment="1">
      <alignment horizontal="center"/>
    </xf>
    <xf numFmtId="2" fontId="3" fillId="0" borderId="5" xfId="0" applyNumberFormat="1" applyFont="1" applyFill="1" applyBorder="1"/>
    <xf numFmtId="0" fontId="12" fillId="0" borderId="0" xfId="0" applyFont="1" applyFill="1" applyAlignment="1">
      <alignment horizontal="center" vertical="center" shrinkToFit="1"/>
    </xf>
    <xf numFmtId="2" fontId="3" fillId="0" borderId="5" xfId="0" applyNumberFormat="1" applyFont="1" applyFill="1" applyBorder="1" applyAlignment="1">
      <alignment shrinkToFit="1"/>
    </xf>
    <xf numFmtId="165" fontId="3" fillId="0" borderId="5" xfId="0" applyNumberFormat="1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2" fontId="3" fillId="0" borderId="0" xfId="0" applyNumberFormat="1" applyFont="1" applyFill="1"/>
    <xf numFmtId="2" fontId="5" fillId="0" borderId="0" xfId="0" applyNumberFormat="1" applyFont="1" applyFill="1" applyBorder="1" applyAlignment="1">
      <alignment horizontal="right" shrinkToFit="1"/>
    </xf>
    <xf numFmtId="2" fontId="5" fillId="0" borderId="0" xfId="0" applyNumberFormat="1" applyFont="1" applyFill="1" applyBorder="1" applyAlignment="1">
      <alignment horizontal="center" shrinkToFit="1"/>
    </xf>
    <xf numFmtId="2" fontId="6" fillId="0" borderId="0" xfId="0" applyNumberFormat="1" applyFont="1" applyFill="1"/>
    <xf numFmtId="2" fontId="6" fillId="0" borderId="0" xfId="0" applyNumberFormat="1" applyFont="1" applyFill="1" applyBorder="1" applyAlignment="1">
      <alignment horizontal="right"/>
    </xf>
    <xf numFmtId="2" fontId="5" fillId="0" borderId="0" xfId="0" applyNumberFormat="1" applyFont="1" applyFill="1" applyAlignment="1">
      <alignment horizontal="right" shrinkToFit="1"/>
    </xf>
    <xf numFmtId="2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right"/>
    </xf>
    <xf numFmtId="165" fontId="3" fillId="0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shrinkToFit="1"/>
    </xf>
    <xf numFmtId="2" fontId="4" fillId="0" borderId="5" xfId="0" applyNumberFormat="1" applyFont="1" applyFill="1" applyBorder="1" applyAlignment="1">
      <alignment horizontal="center" shrinkToFit="1"/>
    </xf>
    <xf numFmtId="2" fontId="4" fillId="0" borderId="5" xfId="0" applyNumberFormat="1" applyFont="1" applyFill="1" applyBorder="1" applyAlignment="1">
      <alignment shrinkToFit="1"/>
    </xf>
    <xf numFmtId="165" fontId="5" fillId="0" borderId="5" xfId="0" applyNumberFormat="1" applyFont="1" applyFill="1" applyBorder="1" applyAlignment="1">
      <alignment horizontal="center"/>
    </xf>
    <xf numFmtId="2" fontId="5" fillId="0" borderId="5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/>
    <xf numFmtId="2" fontId="3" fillId="0" borderId="5" xfId="0" applyNumberFormat="1" applyFont="1" applyFill="1" applyBorder="1" applyAlignment="1"/>
    <xf numFmtId="2" fontId="3" fillId="0" borderId="10" xfId="0" applyNumberFormat="1" applyFont="1" applyFill="1" applyBorder="1" applyAlignment="1">
      <alignment horizontal="center"/>
    </xf>
    <xf numFmtId="2" fontId="3" fillId="0" borderId="10" xfId="0" applyNumberFormat="1" applyFont="1" applyFill="1" applyBorder="1" applyAlignment="1"/>
    <xf numFmtId="165" fontId="3" fillId="0" borderId="11" xfId="0" applyNumberFormat="1" applyFont="1" applyFill="1" applyBorder="1" applyAlignment="1">
      <alignment horizontal="left"/>
    </xf>
    <xf numFmtId="165" fontId="3" fillId="0" borderId="12" xfId="0" applyNumberFormat="1" applyFont="1" applyFill="1" applyBorder="1" applyAlignment="1">
      <alignment horizontal="right"/>
    </xf>
    <xf numFmtId="2" fontId="3" fillId="0" borderId="13" xfId="0" applyNumberFormat="1" applyFont="1" applyFill="1" applyBorder="1" applyAlignment="1">
      <alignment horizontal="left"/>
    </xf>
    <xf numFmtId="165" fontId="3" fillId="0" borderId="14" xfId="0" applyNumberFormat="1" applyFont="1" applyFill="1" applyBorder="1" applyAlignment="1">
      <alignment horizontal="left"/>
    </xf>
    <xf numFmtId="2" fontId="3" fillId="0" borderId="0" xfId="0" applyNumberFormat="1" applyFont="1" applyFill="1" applyAlignment="1"/>
    <xf numFmtId="165" fontId="3" fillId="0" borderId="10" xfId="0" applyNumberFormat="1" applyFont="1" applyFill="1" applyBorder="1" applyAlignment="1">
      <alignment horizontal="right"/>
    </xf>
    <xf numFmtId="2" fontId="3" fillId="0" borderId="14" xfId="0" applyNumberFormat="1" applyFont="1" applyFill="1" applyBorder="1" applyAlignment="1">
      <alignment horizontal="left"/>
    </xf>
    <xf numFmtId="2" fontId="3" fillId="0" borderId="15" xfId="0" applyNumberFormat="1" applyFont="1" applyFill="1" applyBorder="1" applyAlignment="1">
      <alignment horizontal="center"/>
    </xf>
    <xf numFmtId="165" fontId="3" fillId="0" borderId="16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center" shrinkToFit="1"/>
    </xf>
    <xf numFmtId="167" fontId="0" fillId="3" borderId="0" xfId="0" applyNumberFormat="1" applyFill="1" applyAlignment="1">
      <alignment vertical="center" shrinkToFit="1"/>
    </xf>
    <xf numFmtId="2" fontId="0" fillId="4" borderId="0" xfId="0" applyNumberFormat="1" applyFill="1" applyAlignment="1">
      <alignment horizontal="center" vertical="center" shrinkToFit="1"/>
    </xf>
    <xf numFmtId="0" fontId="12" fillId="3" borderId="0" xfId="0" applyFont="1" applyFill="1" applyAlignment="1">
      <alignment vertical="center" shrinkToFit="1"/>
    </xf>
    <xf numFmtId="164" fontId="12" fillId="3" borderId="0" xfId="0" applyNumberFormat="1" applyFont="1" applyFill="1" applyAlignment="1">
      <alignment vertical="center" shrinkToFit="1"/>
    </xf>
    <xf numFmtId="0" fontId="14" fillId="9" borderId="0" xfId="0" applyFont="1" applyFill="1" applyAlignment="1">
      <alignment vertical="center" shrinkToFit="1"/>
    </xf>
    <xf numFmtId="0" fontId="14" fillId="9" borderId="0" xfId="0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 shrinkToFit="1"/>
    </xf>
    <xf numFmtId="164" fontId="0" fillId="11" borderId="0" xfId="0" applyNumberFormat="1" applyFill="1" applyAlignment="1">
      <alignment vertical="center" shrinkToFit="1"/>
    </xf>
    <xf numFmtId="164" fontId="9" fillId="0" borderId="17" xfId="0" applyNumberFormat="1" applyFont="1" applyBorder="1" applyAlignment="1">
      <alignment horizontal="center"/>
    </xf>
    <xf numFmtId="164" fontId="9" fillId="0" borderId="18" xfId="0" applyNumberFormat="1" applyFont="1" applyBorder="1" applyAlignment="1">
      <alignment horizontal="center"/>
    </xf>
    <xf numFmtId="164" fontId="9" fillId="0" borderId="19" xfId="0" applyNumberFormat="1" applyFont="1" applyBorder="1" applyAlignment="1">
      <alignment horizontal="center"/>
    </xf>
    <xf numFmtId="164" fontId="0" fillId="0" borderId="0" xfId="0" applyNumberFormat="1"/>
    <xf numFmtId="0" fontId="15" fillId="0" borderId="0" xfId="0" applyFont="1" applyAlignment="1"/>
    <xf numFmtId="0" fontId="9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20" xfId="0" applyFont="1" applyBorder="1"/>
    <xf numFmtId="0" fontId="0" fillId="0" borderId="20" xfId="0" applyBorder="1"/>
    <xf numFmtId="0" fontId="3" fillId="0" borderId="20" xfId="0" applyFont="1" applyBorder="1" applyAlignment="1"/>
    <xf numFmtId="0" fontId="3" fillId="0" borderId="21" xfId="0" applyFont="1" applyBorder="1" applyAlignment="1"/>
    <xf numFmtId="0" fontId="0" fillId="0" borderId="0" xfId="0" applyBorder="1"/>
    <xf numFmtId="0" fontId="3" fillId="0" borderId="0" xfId="0" applyFont="1" applyBorder="1" applyAlignment="1"/>
    <xf numFmtId="0" fontId="3" fillId="0" borderId="22" xfId="0" applyFont="1" applyBorder="1" applyAlignment="1"/>
    <xf numFmtId="0" fontId="1" fillId="0" borderId="0" xfId="0" applyFont="1"/>
    <xf numFmtId="0" fontId="0" fillId="0" borderId="0" xfId="0" applyAlignment="1" applyProtection="1">
      <alignment shrinkToFit="1"/>
      <protection locked="0"/>
    </xf>
    <xf numFmtId="2" fontId="0" fillId="0" borderId="0" xfId="0" applyNumberFormat="1" applyAlignment="1" applyProtection="1">
      <alignment horizontal="left" shrinkToFit="1"/>
      <protection locked="0"/>
    </xf>
    <xf numFmtId="0" fontId="0" fillId="0" borderId="0" xfId="0" applyProtection="1">
      <protection locked="0"/>
    </xf>
    <xf numFmtId="166" fontId="0" fillId="0" borderId="0" xfId="0" applyNumberFormat="1" applyAlignment="1" applyProtection="1">
      <alignment horizontal="left" shrinkToFit="1"/>
      <protection locked="0"/>
    </xf>
    <xf numFmtId="0" fontId="0" fillId="0" borderId="0" xfId="0" applyAlignment="1" applyProtection="1">
      <alignment vertical="center" shrinkToFit="1"/>
      <protection locked="0"/>
    </xf>
    <xf numFmtId="164" fontId="0" fillId="0" borderId="0" xfId="0" applyNumberFormat="1" applyAlignment="1" applyProtection="1">
      <alignment horizontal="left" shrinkToFit="1"/>
      <protection locked="0"/>
    </xf>
    <xf numFmtId="2" fontId="3" fillId="0" borderId="5" xfId="0" applyNumberFormat="1" applyFont="1" applyBorder="1" applyAlignment="1" applyProtection="1">
      <alignment shrinkToFit="1"/>
      <protection locked="0"/>
    </xf>
    <xf numFmtId="2" fontId="0" fillId="9" borderId="0" xfId="0" applyNumberFormat="1" applyFill="1" applyAlignment="1" applyProtection="1">
      <alignment horizontal="left" shrinkToFit="1"/>
      <protection locked="0"/>
    </xf>
    <xf numFmtId="0" fontId="0" fillId="9" borderId="0" xfId="0" applyFill="1" applyProtection="1">
      <protection locked="0"/>
    </xf>
    <xf numFmtId="2" fontId="17" fillId="9" borderId="0" xfId="0" applyNumberFormat="1" applyFont="1" applyFill="1" applyProtection="1"/>
    <xf numFmtId="0" fontId="0" fillId="0" borderId="0" xfId="0" applyFill="1"/>
    <xf numFmtId="0" fontId="6" fillId="0" borderId="0" xfId="0" applyFont="1"/>
    <xf numFmtId="0" fontId="3" fillId="0" borderId="0" xfId="0" applyFont="1" applyFill="1" applyAlignment="1">
      <alignment horizontal="left"/>
    </xf>
    <xf numFmtId="2" fontId="0" fillId="0" borderId="0" xfId="0" applyNumberFormat="1" applyAlignment="1">
      <alignment vertical="center" shrinkToFit="1"/>
    </xf>
    <xf numFmtId="2" fontId="12" fillId="3" borderId="0" xfId="0" applyNumberFormat="1" applyFont="1" applyFill="1" applyAlignment="1">
      <alignment horizontal="center" vertical="center" shrinkToFit="1"/>
    </xf>
    <xf numFmtId="0" fontId="12" fillId="3" borderId="0" xfId="0" applyFont="1" applyFill="1" applyAlignment="1">
      <alignment horizontal="center" vertical="center" shrinkToFit="1"/>
    </xf>
    <xf numFmtId="0" fontId="0" fillId="0" borderId="23" xfId="0" applyFill="1" applyBorder="1"/>
    <xf numFmtId="0" fontId="4" fillId="0" borderId="24" xfId="0" applyFont="1" applyFill="1" applyBorder="1" applyAlignment="1">
      <alignment horizontal="right"/>
    </xf>
    <xf numFmtId="0" fontId="18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2" fontId="9" fillId="1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right"/>
    </xf>
    <xf numFmtId="166" fontId="4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right"/>
    </xf>
    <xf numFmtId="0" fontId="9" fillId="0" borderId="23" xfId="0" applyFont="1" applyFill="1" applyBorder="1" applyAlignment="1">
      <alignment horizontal="right"/>
    </xf>
    <xf numFmtId="0" fontId="3" fillId="0" borderId="23" xfId="0" applyFont="1" applyFill="1" applyBorder="1" applyAlignment="1">
      <alignment horizontal="left"/>
    </xf>
    <xf numFmtId="2" fontId="9" fillId="0" borderId="23" xfId="0" applyNumberFormat="1" applyFont="1" applyFill="1" applyBorder="1" applyAlignment="1">
      <alignment horizontal="center"/>
    </xf>
    <xf numFmtId="0" fontId="9" fillId="0" borderId="24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2" fontId="9" fillId="10" borderId="0" xfId="0" applyNumberFormat="1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/>
    </xf>
    <xf numFmtId="0" fontId="4" fillId="0" borderId="24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10" borderId="0" xfId="0" applyFont="1" applyFill="1" applyBorder="1" applyAlignment="1">
      <alignment horizontal="center"/>
    </xf>
    <xf numFmtId="2" fontId="4" fillId="0" borderId="24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2" fontId="4" fillId="0" borderId="0" xfId="0" applyNumberFormat="1" applyFont="1" applyFill="1" applyBorder="1" applyAlignment="1">
      <alignment horizontal="left" vertical="center"/>
    </xf>
    <xf numFmtId="0" fontId="9" fillId="10" borderId="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/>
    </xf>
    <xf numFmtId="2" fontId="4" fillId="0" borderId="23" xfId="0" applyNumberFormat="1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3" fillId="0" borderId="24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5" fillId="0" borderId="24" xfId="0" applyFont="1" applyFill="1" applyBorder="1" applyAlignment="1">
      <alignment horizontal="right"/>
    </xf>
    <xf numFmtId="0" fontId="9" fillId="10" borderId="12" xfId="0" applyFont="1" applyFill="1" applyBorder="1" applyAlignment="1">
      <alignment horizontal="center"/>
    </xf>
    <xf numFmtId="2" fontId="18" fillId="10" borderId="12" xfId="0" applyNumberFormat="1" applyFont="1" applyFill="1" applyBorder="1" applyAlignment="1">
      <alignment horizontal="center" vertical="center"/>
    </xf>
    <xf numFmtId="165" fontId="3" fillId="10" borderId="0" xfId="0" applyNumberFormat="1" applyFont="1" applyFill="1" applyAlignment="1">
      <alignment horizontal="center"/>
    </xf>
    <xf numFmtId="0" fontId="0" fillId="12" borderId="0" xfId="0" applyFill="1" applyAlignment="1">
      <alignment vertical="center" shrinkToFit="1"/>
    </xf>
    <xf numFmtId="2" fontId="0" fillId="12" borderId="0" xfId="0" applyNumberFormat="1" applyFill="1" applyAlignment="1">
      <alignment vertical="center" shrinkToFit="1"/>
    </xf>
    <xf numFmtId="2" fontId="0" fillId="0" borderId="0" xfId="0" applyNumberFormat="1" applyAlignment="1">
      <alignment horizontal="center" vertical="center" shrinkToFit="1"/>
    </xf>
    <xf numFmtId="2" fontId="0" fillId="2" borderId="0" xfId="0" applyNumberFormat="1" applyFill="1" applyAlignment="1">
      <alignment vertical="center" shrinkToFit="1"/>
    </xf>
    <xf numFmtId="164" fontId="0" fillId="3" borderId="0" xfId="0" applyNumberFormat="1" applyFill="1" applyAlignment="1">
      <alignment horizontal="center" vertical="center" shrinkToFit="1"/>
    </xf>
    <xf numFmtId="2" fontId="0" fillId="3" borderId="0" xfId="0" applyNumberFormat="1" applyFill="1" applyAlignment="1">
      <alignment horizontal="center" vertical="center" shrinkToFit="1"/>
    </xf>
    <xf numFmtId="2" fontId="0" fillId="0" borderId="0" xfId="0" applyNumberFormat="1"/>
    <xf numFmtId="2" fontId="13" fillId="10" borderId="8" xfId="0" applyNumberFormat="1" applyFont="1" applyFill="1" applyBorder="1"/>
    <xf numFmtId="0" fontId="0" fillId="3" borderId="0" xfId="0" applyFill="1" applyAlignment="1" applyProtection="1">
      <alignment vertical="center" shrinkToFit="1"/>
      <protection locked="0"/>
    </xf>
    <xf numFmtId="164" fontId="0" fillId="3" borderId="0" xfId="0" applyNumberFormat="1" applyFill="1" applyAlignment="1" applyProtection="1">
      <alignment horizontal="left" shrinkToFit="1"/>
      <protection locked="0"/>
    </xf>
    <xf numFmtId="0" fontId="9" fillId="0" borderId="0" xfId="0" applyFont="1" applyAlignment="1">
      <alignment horizontal="center" vertical="center" shrinkToFit="1"/>
    </xf>
    <xf numFmtId="0" fontId="9" fillId="3" borderId="0" xfId="0" applyFont="1" applyFill="1" applyAlignment="1">
      <alignment horizontal="center" vertical="center" shrinkToFit="1"/>
    </xf>
    <xf numFmtId="2" fontId="9" fillId="3" borderId="0" xfId="0" applyNumberFormat="1" applyFont="1" applyFill="1" applyAlignment="1">
      <alignment horizontal="center" vertical="center" shrinkToFit="1"/>
    </xf>
    <xf numFmtId="0" fontId="9" fillId="0" borderId="23" xfId="0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13" xfId="0" applyBorder="1"/>
    <xf numFmtId="0" fontId="3" fillId="0" borderId="13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19" fillId="0" borderId="23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9" fillId="0" borderId="23" xfId="0" applyFont="1" applyBorder="1" applyAlignment="1">
      <alignment horizontal="center"/>
    </xf>
    <xf numFmtId="2" fontId="9" fillId="0" borderId="23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3" fillId="0" borderId="0" xfId="0" applyFont="1" applyProtection="1">
      <protection locked="0"/>
    </xf>
    <xf numFmtId="0" fontId="0" fillId="9" borderId="0" xfId="0" applyFill="1" applyAlignment="1" applyProtection="1">
      <alignment horizontal="left"/>
      <protection locked="0"/>
    </xf>
    <xf numFmtId="165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2" fontId="0" fillId="0" borderId="0" xfId="0" applyNumberFormat="1" applyAlignment="1" applyProtection="1">
      <alignment horizontal="center"/>
      <protection hidden="1"/>
    </xf>
    <xf numFmtId="165" fontId="3" fillId="0" borderId="5" xfId="0" applyNumberFormat="1" applyFont="1" applyFill="1" applyBorder="1" applyAlignment="1" applyProtection="1">
      <alignment horizontal="center"/>
      <protection hidden="1"/>
    </xf>
    <xf numFmtId="164" fontId="9" fillId="9" borderId="0" xfId="0" applyNumberFormat="1" applyFont="1" applyFill="1" applyAlignment="1" applyProtection="1">
      <alignment horizontal="center" vertical="center" shrinkToFit="1"/>
      <protection hidden="1"/>
    </xf>
    <xf numFmtId="2" fontId="11" fillId="0" borderId="0" xfId="0" applyNumberFormat="1" applyFont="1" applyAlignment="1" applyProtection="1">
      <alignment horizontal="center" shrinkToFit="1"/>
      <protection hidden="1"/>
    </xf>
    <xf numFmtId="0" fontId="9" fillId="0" borderId="0" xfId="0" applyFont="1" applyFill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2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5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29" fillId="0" borderId="0" xfId="0" applyFont="1"/>
    <xf numFmtId="0" fontId="0" fillId="0" borderId="29" xfId="0" applyBorder="1"/>
    <xf numFmtId="0" fontId="29" fillId="0" borderId="5" xfId="0" applyFont="1" applyFill="1" applyBorder="1" applyAlignment="1">
      <alignment horizontal="center" wrapText="1"/>
    </xf>
    <xf numFmtId="0" fontId="30" fillId="0" borderId="5" xfId="0" applyFont="1" applyFill="1" applyBorder="1" applyAlignment="1">
      <alignment horizontal="right"/>
    </xf>
    <xf numFmtId="0" fontId="9" fillId="0" borderId="5" xfId="0" applyFont="1" applyFill="1" applyBorder="1" applyAlignment="1">
      <alignment horizontal="center"/>
    </xf>
    <xf numFmtId="0" fontId="11" fillId="0" borderId="0" xfId="0" applyFont="1"/>
    <xf numFmtId="0" fontId="0" fillId="0" borderId="30" xfId="0" applyFill="1" applyBorder="1"/>
    <xf numFmtId="0" fontId="3" fillId="0" borderId="31" xfId="0" applyFont="1" applyFill="1" applyBorder="1"/>
    <xf numFmtId="164" fontId="12" fillId="5" borderId="0" xfId="0" applyNumberFormat="1" applyFont="1" applyFill="1" applyProtection="1">
      <protection locked="0"/>
    </xf>
    <xf numFmtId="164" fontId="0" fillId="9" borderId="0" xfId="0" applyNumberFormat="1" applyFill="1" applyProtection="1">
      <protection locked="0"/>
    </xf>
    <xf numFmtId="2" fontId="6" fillId="10" borderId="0" xfId="0" applyNumberFormat="1" applyFont="1" applyFill="1" applyBorder="1" applyAlignment="1">
      <alignment horizontal="center" shrinkToFit="1"/>
    </xf>
    <xf numFmtId="0" fontId="11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2" fontId="6" fillId="10" borderId="0" xfId="0" applyNumberFormat="1" applyFont="1" applyFill="1" applyAlignment="1"/>
    <xf numFmtId="0" fontId="6" fillId="10" borderId="0" xfId="0" applyFont="1" applyFill="1" applyAlignment="1"/>
    <xf numFmtId="0" fontId="11" fillId="0" borderId="0" xfId="0" applyFont="1" applyFill="1" applyAlignment="1">
      <alignment horizontal="left"/>
    </xf>
    <xf numFmtId="0" fontId="35" fillId="0" borderId="0" xfId="0" applyFont="1" applyBorder="1"/>
    <xf numFmtId="0" fontId="35" fillId="0" borderId="0" xfId="0" applyFont="1" applyBorder="1" applyAlignment="1"/>
    <xf numFmtId="0" fontId="16" fillId="0" borderId="0" xfId="0" applyFont="1" applyBorder="1"/>
    <xf numFmtId="0" fontId="16" fillId="0" borderId="0" xfId="0" applyFont="1"/>
    <xf numFmtId="0" fontId="35" fillId="0" borderId="0" xfId="0" applyFont="1"/>
    <xf numFmtId="0" fontId="36" fillId="0" borderId="0" xfId="0" applyFont="1" applyBorder="1"/>
    <xf numFmtId="0" fontId="0" fillId="0" borderId="32" xfId="0" applyBorder="1" applyAlignment="1"/>
    <xf numFmtId="0" fontId="0" fillId="0" borderId="0" xfId="0" applyBorder="1" applyAlignment="1"/>
    <xf numFmtId="0" fontId="0" fillId="0" borderId="33" xfId="0" applyBorder="1" applyAlignment="1"/>
    <xf numFmtId="0" fontId="0" fillId="0" borderId="30" xfId="0" applyBorder="1"/>
    <xf numFmtId="0" fontId="0" fillId="0" borderId="34" xfId="0" applyBorder="1" applyAlignment="1"/>
    <xf numFmtId="0" fontId="0" fillId="0" borderId="35" xfId="0" applyBorder="1" applyAlignment="1"/>
    <xf numFmtId="0" fontId="0" fillId="0" borderId="36" xfId="0" applyBorder="1" applyAlignment="1"/>
    <xf numFmtId="0" fontId="0" fillId="0" borderId="35" xfId="0" applyBorder="1"/>
    <xf numFmtId="0" fontId="0" fillId="0" borderId="37" xfId="0" applyBorder="1" applyAlignment="1"/>
    <xf numFmtId="0" fontId="3" fillId="0" borderId="35" xfId="0" applyFont="1" applyBorder="1" applyAlignment="1"/>
    <xf numFmtId="0" fontId="3" fillId="0" borderId="38" xfId="0" applyFont="1" applyBorder="1" applyAlignment="1"/>
    <xf numFmtId="0" fontId="9" fillId="0" borderId="0" xfId="0" applyFont="1" applyBorder="1"/>
    <xf numFmtId="0" fontId="37" fillId="0" borderId="0" xfId="0" applyFont="1" applyBorder="1" applyAlignment="1"/>
    <xf numFmtId="0" fontId="1" fillId="0" borderId="0" xfId="0" applyFont="1" applyBorder="1" applyAlignment="1"/>
    <xf numFmtId="0" fontId="34" fillId="0" borderId="0" xfId="0" applyFont="1" applyBorder="1" applyAlignment="1"/>
    <xf numFmtId="0" fontId="9" fillId="0" borderId="22" xfId="0" applyFont="1" applyBorder="1"/>
    <xf numFmtId="0" fontId="0" fillId="0" borderId="22" xfId="0" applyBorder="1" applyAlignment="1"/>
    <xf numFmtId="0" fontId="35" fillId="0" borderId="22" xfId="0" applyFont="1" applyBorder="1" applyAlignment="1"/>
    <xf numFmtId="0" fontId="0" fillId="0" borderId="39" xfId="0" applyBorder="1"/>
    <xf numFmtId="0" fontId="0" fillId="0" borderId="39" xfId="0" applyBorder="1" applyAlignment="1"/>
    <xf numFmtId="1" fontId="0" fillId="0" borderId="0" xfId="0" applyNumberFormat="1" applyAlignment="1" applyProtection="1">
      <alignment horizontal="left" shrinkToFit="1"/>
      <protection locked="0"/>
    </xf>
    <xf numFmtId="0" fontId="3" fillId="0" borderId="29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2" fontId="38" fillId="0" borderId="0" xfId="0" applyNumberFormat="1" applyFont="1" applyAlignment="1" applyProtection="1">
      <alignment horizontal="left" shrinkToFit="1"/>
      <protection locked="0"/>
    </xf>
    <xf numFmtId="2" fontId="7" fillId="0" borderId="10" xfId="0" applyNumberFormat="1" applyFont="1" applyFill="1" applyBorder="1" applyAlignment="1">
      <alignment horizontal="center" shrinkToFit="1"/>
    </xf>
    <xf numFmtId="2" fontId="7" fillId="0" borderId="11" xfId="0" applyNumberFormat="1" applyFont="1" applyFill="1" applyBorder="1" applyAlignment="1">
      <alignment horizontal="center" shrinkToFit="1"/>
    </xf>
    <xf numFmtId="2" fontId="7" fillId="0" borderId="14" xfId="0" applyNumberFormat="1" applyFont="1" applyFill="1" applyBorder="1" applyAlignment="1">
      <alignment horizontal="center" shrinkToFit="1"/>
    </xf>
    <xf numFmtId="2" fontId="5" fillId="0" borderId="41" xfId="0" applyNumberFormat="1" applyFont="1" applyFill="1" applyBorder="1" applyAlignment="1">
      <alignment horizontal="left" shrinkToFit="1"/>
    </xf>
    <xf numFmtId="166" fontId="5" fillId="0" borderId="0" xfId="0" applyNumberFormat="1" applyFont="1" applyFill="1" applyAlignment="1">
      <alignment horizontal="left"/>
    </xf>
    <xf numFmtId="2" fontId="3" fillId="0" borderId="5" xfId="0" applyNumberFormat="1" applyFont="1" applyFill="1" applyBorder="1" applyAlignment="1">
      <alignment horizontal="center"/>
    </xf>
    <xf numFmtId="2" fontId="3" fillId="0" borderId="10" xfId="0" applyNumberFormat="1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left" shrinkToFit="1"/>
    </xf>
    <xf numFmtId="2" fontId="3" fillId="0" borderId="0" xfId="0" applyNumberFormat="1" applyFont="1" applyFill="1" applyAlignment="1">
      <alignment horizontal="center"/>
    </xf>
    <xf numFmtId="165" fontId="5" fillId="0" borderId="0" xfId="0" applyNumberFormat="1" applyFont="1" applyFill="1" applyBorder="1" applyAlignment="1">
      <alignment horizontal="left" shrinkToFit="1"/>
    </xf>
    <xf numFmtId="2" fontId="3" fillId="0" borderId="25" xfId="0" applyNumberFormat="1" applyFont="1" applyFill="1" applyBorder="1" applyAlignment="1">
      <alignment horizontal="center"/>
    </xf>
    <xf numFmtId="2" fontId="3" fillId="0" borderId="27" xfId="0" applyNumberFormat="1" applyFont="1" applyFill="1" applyBorder="1" applyAlignment="1">
      <alignment horizontal="center"/>
    </xf>
    <xf numFmtId="165" fontId="3" fillId="0" borderId="42" xfId="0" applyNumberFormat="1" applyFont="1" applyFill="1" applyBorder="1" applyAlignment="1">
      <alignment horizontal="center" vertical="center"/>
    </xf>
    <xf numFmtId="165" fontId="3" fillId="0" borderId="43" xfId="0" applyNumberFormat="1" applyFont="1" applyFill="1" applyBorder="1" applyAlignment="1">
      <alignment horizontal="center" vertical="center"/>
    </xf>
    <xf numFmtId="165" fontId="3" fillId="0" borderId="15" xfId="0" applyNumberFormat="1" applyFont="1" applyFill="1" applyBorder="1" applyAlignment="1">
      <alignment horizontal="center" vertical="center"/>
    </xf>
    <xf numFmtId="165" fontId="3" fillId="0" borderId="16" xfId="0" applyNumberFormat="1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shrinkToFit="1"/>
    </xf>
    <xf numFmtId="2" fontId="3" fillId="0" borderId="10" xfId="0" applyNumberFormat="1" applyFont="1" applyFill="1" applyBorder="1" applyAlignment="1">
      <alignment horizontal="center" shrinkToFit="1"/>
    </xf>
    <xf numFmtId="2" fontId="1" fillId="0" borderId="10" xfId="0" applyNumberFormat="1" applyFont="1" applyFill="1" applyBorder="1" applyAlignment="1">
      <alignment horizontal="center" shrinkToFit="1"/>
    </xf>
    <xf numFmtId="2" fontId="1" fillId="0" borderId="11" xfId="0" applyNumberFormat="1" applyFont="1" applyFill="1" applyBorder="1" applyAlignment="1">
      <alignment horizontal="center" shrinkToFit="1"/>
    </xf>
    <xf numFmtId="2" fontId="1" fillId="0" borderId="14" xfId="0" applyNumberFormat="1" applyFont="1" applyFill="1" applyBorder="1" applyAlignment="1">
      <alignment horizontal="center" shrinkToFit="1"/>
    </xf>
    <xf numFmtId="2" fontId="3" fillId="0" borderId="40" xfId="0" applyNumberFormat="1" applyFont="1" applyFill="1" applyBorder="1" applyAlignment="1">
      <alignment horizontal="center" shrinkToFit="1"/>
    </xf>
    <xf numFmtId="2" fontId="3" fillId="0" borderId="15" xfId="0" applyNumberFormat="1" applyFont="1" applyFill="1" applyBorder="1" applyAlignment="1">
      <alignment horizontal="center" shrinkToFit="1"/>
    </xf>
    <xf numFmtId="2" fontId="6" fillId="10" borderId="0" xfId="0" applyNumberFormat="1" applyFont="1" applyFill="1" applyAlignment="1" applyProtection="1">
      <alignment horizontal="left"/>
      <protection hidden="1"/>
    </xf>
    <xf numFmtId="0" fontId="6" fillId="10" borderId="0" xfId="0" applyFont="1" applyFill="1" applyAlignment="1" applyProtection="1">
      <alignment horizontal="left"/>
      <protection hidden="1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6" fillId="0" borderId="24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2" fontId="9" fillId="10" borderId="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11" fillId="0" borderId="44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16" fillId="0" borderId="47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2" fontId="34" fillId="0" borderId="0" xfId="0" applyNumberFormat="1" applyFont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27" fillId="0" borderId="0" xfId="0" applyFont="1" applyFill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left"/>
    </xf>
    <xf numFmtId="0" fontId="9" fillId="0" borderId="0" xfId="0" applyFont="1" applyAlignment="1">
      <alignment horizontal="left"/>
    </xf>
    <xf numFmtId="0" fontId="16" fillId="0" borderId="1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0" fillId="9" borderId="0" xfId="0" applyFill="1" applyAlignment="1">
      <alignment horizontal="center" vertical="center" shrinkToFit="1"/>
    </xf>
    <xf numFmtId="0" fontId="0" fillId="10" borderId="0" xfId="0" applyFill="1" applyAlignment="1">
      <alignment horizontal="center" vertical="center" shrinkToFit="1"/>
    </xf>
    <xf numFmtId="0" fontId="20" fillId="8" borderId="0" xfId="0" applyFont="1" applyFill="1" applyAlignment="1">
      <alignment horizontal="center" vertical="center" wrapText="1" shrinkToFit="1"/>
    </xf>
    <xf numFmtId="2" fontId="0" fillId="12" borderId="0" xfId="0" applyNumberForma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2" fontId="9" fillId="9" borderId="0" xfId="0" applyNumberFormat="1" applyFont="1" applyFill="1" applyAlignment="1">
      <alignment horizontal="center" shrinkToFit="1"/>
    </xf>
  </cellXfs>
  <cellStyles count="2">
    <cellStyle name="Hyperlink" xfId="1" builtinId="8"/>
    <cellStyle name="Normal" xfId="0" builtinId="0"/>
  </cellStyles>
  <dxfs count="2">
    <dxf>
      <font>
        <b/>
        <i val="0"/>
        <condense val="0"/>
        <extend val="0"/>
        <color indexed="10"/>
      </font>
      <fill>
        <patternFill>
          <bgColor indexed="13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b/>
        <i val="0"/>
        <strike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18499026822391"/>
          <c:y val="7.0754798462833571E-2"/>
          <c:w val="0.80277410166339291"/>
          <c:h val="0.8584915546823809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'GZ CURVE'!$B$3</c:f>
              <c:strCache>
                <c:ptCount val="1"/>
                <c:pt idx="0">
                  <c:v>GZ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'GZ CURVE'!$C$2:$L$2</c:f>
              <c:numCache>
                <c:formatCode>General</c:formatCode>
                <c:ptCount val="10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'GZ CURVE'!$C$3:$L$3</c:f>
              <c:numCache>
                <c:formatCode>0.000</c:formatCode>
                <c:ptCount val="10"/>
                <c:pt idx="0">
                  <c:v>0</c:v>
                </c:pt>
                <c:pt idx="1">
                  <c:v>0.23469032831561898</c:v>
                </c:pt>
                <c:pt idx="2">
                  <c:v>0.524153428438767</c:v>
                </c:pt>
                <c:pt idx="3">
                  <c:v>0.78240936404122996</c:v>
                </c:pt>
                <c:pt idx="4">
                  <c:v>0.85199565317911885</c:v>
                </c:pt>
                <c:pt idx="5">
                  <c:v>0.85328247721127282</c:v>
                </c:pt>
                <c:pt idx="6">
                  <c:v>0.78385374314647738</c:v>
                </c:pt>
                <c:pt idx="7">
                  <c:v>0.57797280552689223</c:v>
                </c:pt>
                <c:pt idx="8">
                  <c:v>0.29614908161788556</c:v>
                </c:pt>
                <c:pt idx="9">
                  <c:v>-2.5181271917540826E-2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'GZ CURVE'!$B$4</c:f>
              <c:strCache>
                <c:ptCount val="1"/>
                <c:pt idx="0">
                  <c:v>GM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square"/>
            <c:size val="6"/>
            <c:spPr>
              <a:noFill/>
              <a:ln w="9525">
                <a:noFill/>
              </a:ln>
            </c:spPr>
          </c:marker>
          <c:xVal>
            <c:numRef>
              <c:f>'GZ CURVE'!$C$2:$L$2</c:f>
              <c:numCache>
                <c:formatCode>General</c:formatCode>
                <c:ptCount val="10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'GZ CURVE'!$C$4:$L$4</c:f>
              <c:numCache>
                <c:formatCode>0.000</c:formatCode>
                <c:ptCount val="10"/>
                <c:pt idx="0">
                  <c:v>0</c:v>
                </c:pt>
                <c:pt idx="1">
                  <c:v>0.23469032831561898</c:v>
                </c:pt>
                <c:pt idx="2">
                  <c:v>0.46938065663123796</c:v>
                </c:pt>
                <c:pt idx="3">
                  <c:v>0.70407098494685694</c:v>
                </c:pt>
                <c:pt idx="4">
                  <c:v>0.93876131326247592</c:v>
                </c:pt>
                <c:pt idx="5">
                  <c:v>1.1734516415780949</c:v>
                </c:pt>
                <c:pt idx="6">
                  <c:v>1.4081419698937139</c:v>
                </c:pt>
                <c:pt idx="7">
                  <c:v>1.6428322982093329</c:v>
                </c:pt>
                <c:pt idx="8">
                  <c:v>1.8775226265249518</c:v>
                </c:pt>
                <c:pt idx="9">
                  <c:v>2.1122129548405706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6232400"/>
        <c:axId val="-1056230768"/>
      </c:scatterChart>
      <c:valAx>
        <c:axId val="-1056232400"/>
        <c:scaling>
          <c:orientation val="minMax"/>
          <c:max val="9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ANGLE OF HEEL</a:t>
                </a:r>
              </a:p>
            </c:rich>
          </c:tx>
          <c:layout>
            <c:manualLayout>
              <c:xMode val="edge"/>
              <c:yMode val="edge"/>
              <c:x val="0.45454577807974322"/>
              <c:y val="0.9410387262912890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-1056230768"/>
        <c:crosses val="autoZero"/>
        <c:crossBetween val="midCat"/>
        <c:majorUnit val="10"/>
        <c:minorUnit val="5"/>
      </c:valAx>
      <c:valAx>
        <c:axId val="-1056230768"/>
        <c:scaling>
          <c:orientation val="minMax"/>
          <c:max val="5.0999999999999996"/>
          <c:min val="-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7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GZ</a:t>
                </a:r>
              </a:p>
            </c:rich>
          </c:tx>
          <c:layout>
            <c:manualLayout>
              <c:xMode val="edge"/>
              <c:yMode val="edge"/>
              <c:x val="1.5408320493066263E-2"/>
              <c:y val="0.45518917446639923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-1056232400"/>
        <c:crosses val="autoZero"/>
        <c:crossBetween val="midCat"/>
        <c:majorUnit val="0.5"/>
        <c:minorUnit val="0.1"/>
      </c:valAx>
      <c:spPr>
        <a:solidFill>
          <a:srgbClr val="FFFFFF"/>
        </a:solidFill>
        <a:ln w="12700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 paperSize="9" orientation="landscape" horizontalDpi="1200" verticalDpi="120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7</xdr:row>
      <xdr:rowOff>19050</xdr:rowOff>
    </xdr:from>
    <xdr:to>
      <xdr:col>12</xdr:col>
      <xdr:colOff>228600</xdr:colOff>
      <xdr:row>32</xdr:row>
      <xdr:rowOff>9525</xdr:rowOff>
    </xdr:to>
    <xdr:graphicFrame macro="">
      <xdr:nvGraphicFramePr>
        <xdr:cNvPr id="11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0.6312</cdr:x>
      <cdr:y>0.11332</cdr:y>
    </cdr:from>
    <cdr:to>
      <cdr:x>0.6312</cdr:x>
      <cdr:y>0.92428</cdr:y>
    </cdr:to>
    <cdr:sp macro="" textlink="">
      <cdr:nvSpPr>
        <cdr:cNvPr id="2050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3911092" y="461899"/>
          <a:ext cx="0" cy="3282863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35</xdr:row>
      <xdr:rowOff>0</xdr:rowOff>
    </xdr:from>
    <xdr:to>
      <xdr:col>10</xdr:col>
      <xdr:colOff>9525</xdr:colOff>
      <xdr:row>36</xdr:row>
      <xdr:rowOff>161925</xdr:rowOff>
    </xdr:to>
    <xdr:sp macro="" textlink="">
      <xdr:nvSpPr>
        <xdr:cNvPr id="20425" name="Line 1"/>
        <xdr:cNvSpPr>
          <a:spLocks noChangeShapeType="1"/>
        </xdr:cNvSpPr>
      </xdr:nvSpPr>
      <xdr:spPr bwMode="auto">
        <a:xfrm>
          <a:off x="5600700" y="61626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600075</xdr:colOff>
      <xdr:row>5</xdr:row>
      <xdr:rowOff>114300</xdr:rowOff>
    </xdr:from>
    <xdr:to>
      <xdr:col>16</xdr:col>
      <xdr:colOff>219075</xdr:colOff>
      <xdr:row>12</xdr:row>
      <xdr:rowOff>0</xdr:rowOff>
    </xdr:to>
    <xdr:sp macro="" textlink="">
      <xdr:nvSpPr>
        <xdr:cNvPr id="20426" name="Line 2"/>
        <xdr:cNvSpPr>
          <a:spLocks noChangeShapeType="1"/>
        </xdr:cNvSpPr>
      </xdr:nvSpPr>
      <xdr:spPr bwMode="auto">
        <a:xfrm flipV="1">
          <a:off x="8458200" y="933450"/>
          <a:ext cx="838200" cy="11239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5</xdr:row>
      <xdr:rowOff>114300</xdr:rowOff>
    </xdr:from>
    <xdr:to>
      <xdr:col>16</xdr:col>
      <xdr:colOff>219075</xdr:colOff>
      <xdr:row>36</xdr:row>
      <xdr:rowOff>161925</xdr:rowOff>
    </xdr:to>
    <xdr:sp macro="" textlink="">
      <xdr:nvSpPr>
        <xdr:cNvPr id="20427" name="Line 3"/>
        <xdr:cNvSpPr>
          <a:spLocks noChangeShapeType="1"/>
        </xdr:cNvSpPr>
      </xdr:nvSpPr>
      <xdr:spPr bwMode="auto">
        <a:xfrm flipV="1">
          <a:off x="8467725" y="933450"/>
          <a:ext cx="828675" cy="5553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9525</xdr:colOff>
      <xdr:row>36</xdr:row>
      <xdr:rowOff>161925</xdr:rowOff>
    </xdr:to>
    <xdr:sp macro="" textlink="">
      <xdr:nvSpPr>
        <xdr:cNvPr id="20428" name="Line 4"/>
        <xdr:cNvSpPr>
          <a:spLocks noChangeShapeType="1"/>
        </xdr:cNvSpPr>
      </xdr:nvSpPr>
      <xdr:spPr bwMode="auto">
        <a:xfrm>
          <a:off x="5600700" y="61626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600075</xdr:colOff>
      <xdr:row>5</xdr:row>
      <xdr:rowOff>114300</xdr:rowOff>
    </xdr:from>
    <xdr:to>
      <xdr:col>16</xdr:col>
      <xdr:colOff>219075</xdr:colOff>
      <xdr:row>12</xdr:row>
      <xdr:rowOff>0</xdr:rowOff>
    </xdr:to>
    <xdr:sp macro="" textlink="">
      <xdr:nvSpPr>
        <xdr:cNvPr id="20429" name="Line 5"/>
        <xdr:cNvSpPr>
          <a:spLocks noChangeShapeType="1"/>
        </xdr:cNvSpPr>
      </xdr:nvSpPr>
      <xdr:spPr bwMode="auto">
        <a:xfrm flipV="1">
          <a:off x="8458200" y="933450"/>
          <a:ext cx="838200" cy="11239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5</xdr:row>
      <xdr:rowOff>114300</xdr:rowOff>
    </xdr:from>
    <xdr:to>
      <xdr:col>16</xdr:col>
      <xdr:colOff>219075</xdr:colOff>
      <xdr:row>36</xdr:row>
      <xdr:rowOff>161925</xdr:rowOff>
    </xdr:to>
    <xdr:sp macro="" textlink="">
      <xdr:nvSpPr>
        <xdr:cNvPr id="20430" name="Line 6"/>
        <xdr:cNvSpPr>
          <a:spLocks noChangeShapeType="1"/>
        </xdr:cNvSpPr>
      </xdr:nvSpPr>
      <xdr:spPr bwMode="auto">
        <a:xfrm flipV="1">
          <a:off x="8467725" y="933450"/>
          <a:ext cx="828675" cy="5553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9525</xdr:colOff>
      <xdr:row>36</xdr:row>
      <xdr:rowOff>161925</xdr:rowOff>
    </xdr:to>
    <xdr:sp macro="" textlink="">
      <xdr:nvSpPr>
        <xdr:cNvPr id="20431" name="Line 7"/>
        <xdr:cNvSpPr>
          <a:spLocks noChangeShapeType="1"/>
        </xdr:cNvSpPr>
      </xdr:nvSpPr>
      <xdr:spPr bwMode="auto">
        <a:xfrm>
          <a:off x="5600700" y="61626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600075</xdr:colOff>
      <xdr:row>5</xdr:row>
      <xdr:rowOff>114300</xdr:rowOff>
    </xdr:from>
    <xdr:to>
      <xdr:col>16</xdr:col>
      <xdr:colOff>219075</xdr:colOff>
      <xdr:row>12</xdr:row>
      <xdr:rowOff>0</xdr:rowOff>
    </xdr:to>
    <xdr:sp macro="" textlink="">
      <xdr:nvSpPr>
        <xdr:cNvPr id="20432" name="Line 8"/>
        <xdr:cNvSpPr>
          <a:spLocks noChangeShapeType="1"/>
        </xdr:cNvSpPr>
      </xdr:nvSpPr>
      <xdr:spPr bwMode="auto">
        <a:xfrm flipV="1">
          <a:off x="8458200" y="933450"/>
          <a:ext cx="838200" cy="11239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5</xdr:row>
      <xdr:rowOff>114300</xdr:rowOff>
    </xdr:from>
    <xdr:to>
      <xdr:col>16</xdr:col>
      <xdr:colOff>219075</xdr:colOff>
      <xdr:row>36</xdr:row>
      <xdr:rowOff>161925</xdr:rowOff>
    </xdr:to>
    <xdr:sp macro="" textlink="">
      <xdr:nvSpPr>
        <xdr:cNvPr id="20433" name="Line 9"/>
        <xdr:cNvSpPr>
          <a:spLocks noChangeShapeType="1"/>
        </xdr:cNvSpPr>
      </xdr:nvSpPr>
      <xdr:spPr bwMode="auto">
        <a:xfrm flipV="1">
          <a:off x="8467725" y="933450"/>
          <a:ext cx="828675" cy="5553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12</xdr:row>
      <xdr:rowOff>9525</xdr:rowOff>
    </xdr:from>
    <xdr:to>
      <xdr:col>1</xdr:col>
      <xdr:colOff>581025</xdr:colOff>
      <xdr:row>24</xdr:row>
      <xdr:rowOff>152400</xdr:rowOff>
    </xdr:to>
    <xdr:sp macro="" textlink="">
      <xdr:nvSpPr>
        <xdr:cNvPr id="20434" name="Line 10"/>
        <xdr:cNvSpPr>
          <a:spLocks noChangeShapeType="1"/>
        </xdr:cNvSpPr>
      </xdr:nvSpPr>
      <xdr:spPr bwMode="auto">
        <a:xfrm flipH="1">
          <a:off x="619125" y="2066925"/>
          <a:ext cx="571500" cy="2352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600075</xdr:colOff>
      <xdr:row>12</xdr:row>
      <xdr:rowOff>0</xdr:rowOff>
    </xdr:from>
    <xdr:to>
      <xdr:col>1</xdr:col>
      <xdr:colOff>581025</xdr:colOff>
      <xdr:row>24</xdr:row>
      <xdr:rowOff>161925</xdr:rowOff>
    </xdr:to>
    <xdr:sp macro="" textlink="">
      <xdr:nvSpPr>
        <xdr:cNvPr id="20435" name="Line 11"/>
        <xdr:cNvSpPr>
          <a:spLocks noChangeShapeType="1"/>
        </xdr:cNvSpPr>
      </xdr:nvSpPr>
      <xdr:spPr bwMode="auto">
        <a:xfrm>
          <a:off x="600075" y="2057400"/>
          <a:ext cx="590550" cy="2371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0</xdr:rowOff>
    </xdr:from>
    <xdr:to>
      <xdr:col>0</xdr:col>
      <xdr:colOff>304800</xdr:colOff>
      <xdr:row>44</xdr:row>
      <xdr:rowOff>142875</xdr:rowOff>
    </xdr:to>
    <xdr:sp macro="" textlink="">
      <xdr:nvSpPr>
        <xdr:cNvPr id="14603" name="AutoShape 3" descr="Show">
          <a:hlinkClick xmlns:r="http://schemas.openxmlformats.org/officeDocument/2006/relationships" r:id=""/>
        </xdr:cNvPr>
        <xdr:cNvSpPr>
          <a:spLocks noChangeAspect="1" noChangeArrowheads="1"/>
        </xdr:cNvSpPr>
      </xdr:nvSpPr>
      <xdr:spPr bwMode="auto">
        <a:xfrm>
          <a:off x="0" y="69818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304800</xdr:colOff>
      <xdr:row>49</xdr:row>
      <xdr:rowOff>142875</xdr:rowOff>
    </xdr:to>
    <xdr:sp macro="" textlink="">
      <xdr:nvSpPr>
        <xdr:cNvPr id="14604" name="AutoShape 4" descr="Selecting an example from Help"/>
        <xdr:cNvSpPr>
          <a:spLocks noChangeAspect="1" noChangeArrowheads="1"/>
        </xdr:cNvSpPr>
      </xdr:nvSpPr>
      <xdr:spPr bwMode="auto">
        <a:xfrm>
          <a:off x="0" y="77914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43</xdr:row>
      <xdr:rowOff>0</xdr:rowOff>
    </xdr:from>
    <xdr:to>
      <xdr:col>7</xdr:col>
      <xdr:colOff>304800</xdr:colOff>
      <xdr:row>44</xdr:row>
      <xdr:rowOff>142875</xdr:rowOff>
    </xdr:to>
    <xdr:sp macro="" textlink="">
      <xdr:nvSpPr>
        <xdr:cNvPr id="14605" name="AutoShape 5" descr="Show">
          <a:hlinkClick xmlns:r="http://schemas.openxmlformats.org/officeDocument/2006/relationships" r:id=""/>
        </xdr:cNvPr>
        <xdr:cNvSpPr>
          <a:spLocks noChangeAspect="1" noChangeArrowheads="1"/>
        </xdr:cNvSpPr>
      </xdr:nvSpPr>
      <xdr:spPr bwMode="auto">
        <a:xfrm>
          <a:off x="3790950" y="69818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2ndOmid/STAB/j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drostatics"/>
      <sheetName val="AMSI"/>
      <sheetName val="Chart 3"/>
      <sheetName val="Chart 2"/>
      <sheetName val="Chart 1"/>
      <sheetName val="Tonnage Calculation"/>
    </sheetNames>
    <sheetDataSet>
      <sheetData sheetId="0"/>
      <sheetData sheetId="1"/>
      <sheetData sheetId="2" refreshError="1"/>
      <sheetData sheetId="3" refreshError="1"/>
      <sheetData sheetId="4" refreshError="1"/>
      <sheetData sheetId="5">
        <row r="1">
          <cell r="A1" t="str">
            <v>FORTY-ONE</v>
          </cell>
        </row>
        <row r="2">
          <cell r="A2" t="str">
            <v>-THOUSAND</v>
          </cell>
        </row>
        <row r="3">
          <cell r="A3" t="str">
            <v xml:space="preserve"> NINE</v>
          </cell>
        </row>
        <row r="4">
          <cell r="A4" t="str">
            <v>-HUNDRED</v>
          </cell>
        </row>
        <row r="5">
          <cell r="A5" t="str">
            <v xml:space="preserve"> &amp; </v>
          </cell>
        </row>
        <row r="6">
          <cell r="A6" t="str">
            <v>SIXTY-NINE</v>
          </cell>
        </row>
        <row r="7">
          <cell r="A7" t="str">
            <v xml:space="preserve"> TONNES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</sheetPr>
  <dimension ref="A2:I46"/>
  <sheetViews>
    <sheetView tabSelected="1" topLeftCell="A5" workbookViewId="0">
      <selection activeCell="C5" sqref="C5"/>
    </sheetView>
  </sheetViews>
  <sheetFormatPr defaultRowHeight="12.75" x14ac:dyDescent="0.2"/>
  <cols>
    <col min="1" max="1" width="12.42578125" style="118" customWidth="1"/>
    <col min="2" max="2" width="16.140625" style="119" customWidth="1"/>
    <col min="3" max="16384" width="9.140625" style="120"/>
  </cols>
  <sheetData>
    <row r="2" spans="1:9" x14ac:dyDescent="0.2">
      <c r="A2" s="118" t="s">
        <v>120</v>
      </c>
      <c r="B2" s="119" t="s">
        <v>279</v>
      </c>
    </row>
    <row r="3" spans="1:9" x14ac:dyDescent="0.2">
      <c r="A3" s="118" t="s">
        <v>121</v>
      </c>
      <c r="B3" s="255">
        <v>4180</v>
      </c>
    </row>
    <row r="4" spans="1:9" x14ac:dyDescent="0.2">
      <c r="A4" s="118" t="s">
        <v>122</v>
      </c>
      <c r="B4" s="121" t="s">
        <v>291</v>
      </c>
    </row>
    <row r="5" spans="1:9" x14ac:dyDescent="0.2">
      <c r="A5" s="118" t="s">
        <v>123</v>
      </c>
      <c r="B5" s="119" t="s">
        <v>288</v>
      </c>
    </row>
    <row r="6" spans="1:9" x14ac:dyDescent="0.2">
      <c r="A6" s="118" t="s">
        <v>124</v>
      </c>
      <c r="B6" s="119" t="s">
        <v>289</v>
      </c>
    </row>
    <row r="7" spans="1:9" x14ac:dyDescent="0.2">
      <c r="A7" s="118" t="s">
        <v>65</v>
      </c>
      <c r="B7" s="119" t="s">
        <v>286</v>
      </c>
    </row>
    <row r="8" spans="1:9" x14ac:dyDescent="0.2">
      <c r="A8" s="118" t="s">
        <v>125</v>
      </c>
      <c r="B8" s="119" t="s">
        <v>287</v>
      </c>
    </row>
    <row r="9" spans="1:9" x14ac:dyDescent="0.2">
      <c r="A9" s="118" t="s">
        <v>264</v>
      </c>
      <c r="B9" s="119" t="s">
        <v>290</v>
      </c>
    </row>
    <row r="10" spans="1:9" x14ac:dyDescent="0.2">
      <c r="A10" s="122" t="s">
        <v>85</v>
      </c>
      <c r="B10" s="123">
        <v>3.97</v>
      </c>
    </row>
    <row r="11" spans="1:9" x14ac:dyDescent="0.2">
      <c r="A11" s="122" t="s">
        <v>86</v>
      </c>
      <c r="B11" s="123">
        <v>3.97</v>
      </c>
      <c r="G11" s="127">
        <f>Calc!B25</f>
        <v>3616.7711753754702</v>
      </c>
      <c r="H11" s="222">
        <f>'DATA OUT'!D22+SUM('DATA OUT'!D25:D34)</f>
        <v>1439.2960975609756</v>
      </c>
      <c r="I11" s="221">
        <f>G11-H11</f>
        <v>2177.4750778144944</v>
      </c>
    </row>
    <row r="12" spans="1:9" x14ac:dyDescent="0.2">
      <c r="A12" s="122" t="s">
        <v>87</v>
      </c>
      <c r="B12" s="123">
        <v>3.99</v>
      </c>
      <c r="G12" s="127">
        <f>SUM('DATA OUT'!D10:D34)</f>
        <v>1454.9492985365855</v>
      </c>
    </row>
    <row r="13" spans="1:9" x14ac:dyDescent="0.2">
      <c r="A13" s="122" t="s">
        <v>88</v>
      </c>
      <c r="B13" s="123">
        <v>3.99</v>
      </c>
      <c r="G13" s="127">
        <f>G11-G12</f>
        <v>2161.8218768388847</v>
      </c>
    </row>
    <row r="14" spans="1:9" x14ac:dyDescent="0.2">
      <c r="A14" s="122" t="s">
        <v>89</v>
      </c>
      <c r="B14" s="123">
        <v>4</v>
      </c>
    </row>
    <row r="15" spans="1:9" x14ac:dyDescent="0.2">
      <c r="A15" s="122" t="s">
        <v>90</v>
      </c>
      <c r="B15" s="123">
        <v>4</v>
      </c>
    </row>
    <row r="16" spans="1:9" x14ac:dyDescent="0.2">
      <c r="A16" s="179" t="s">
        <v>212</v>
      </c>
      <c r="B16" s="180">
        <v>1.0069999999999999</v>
      </c>
    </row>
    <row r="17" spans="1:7" x14ac:dyDescent="0.2">
      <c r="A17" s="122" t="s">
        <v>171</v>
      </c>
      <c r="B17" s="123">
        <v>1.0069999999999999</v>
      </c>
    </row>
    <row r="18" spans="1:7" x14ac:dyDescent="0.2">
      <c r="A18" s="122" t="s">
        <v>172</v>
      </c>
      <c r="B18" s="123">
        <v>0.85199999999999998</v>
      </c>
    </row>
    <row r="19" spans="1:7" x14ac:dyDescent="0.2">
      <c r="A19" s="122" t="s">
        <v>173</v>
      </c>
      <c r="B19" s="123">
        <v>1</v>
      </c>
      <c r="C19" s="120" t="s">
        <v>199</v>
      </c>
      <c r="D19" s="195" t="s">
        <v>271</v>
      </c>
      <c r="E19" s="196">
        <v>850</v>
      </c>
    </row>
    <row r="20" spans="1:7" x14ac:dyDescent="0.2">
      <c r="A20" s="124" t="s">
        <v>1</v>
      </c>
      <c r="B20" s="125">
        <v>2162.6260000000002</v>
      </c>
      <c r="C20" s="126">
        <v>4.6500000000000004</v>
      </c>
      <c r="D20" s="195" t="s">
        <v>272</v>
      </c>
      <c r="E20" s="196">
        <v>1097.8</v>
      </c>
    </row>
    <row r="21" spans="1:7" x14ac:dyDescent="0.2">
      <c r="A21" s="124" t="s">
        <v>2</v>
      </c>
      <c r="B21" s="125"/>
      <c r="C21" s="126">
        <v>10.5</v>
      </c>
      <c r="D21" s="195" t="s">
        <v>273</v>
      </c>
      <c r="E21" s="196"/>
    </row>
    <row r="22" spans="1:7" x14ac:dyDescent="0.2">
      <c r="A22" s="124" t="s">
        <v>158</v>
      </c>
      <c r="B22" s="125">
        <v>0</v>
      </c>
    </row>
    <row r="23" spans="1:7" x14ac:dyDescent="0.2">
      <c r="A23" s="124" t="s">
        <v>4</v>
      </c>
      <c r="B23" s="125">
        <v>0</v>
      </c>
    </row>
    <row r="24" spans="1:7" x14ac:dyDescent="0.2">
      <c r="A24" s="124" t="s">
        <v>147</v>
      </c>
      <c r="B24" s="125">
        <v>0</v>
      </c>
    </row>
    <row r="25" spans="1:7" x14ac:dyDescent="0.2">
      <c r="A25" s="124" t="s">
        <v>148</v>
      </c>
      <c r="B25" s="125">
        <v>0</v>
      </c>
    </row>
    <row r="26" spans="1:7" x14ac:dyDescent="0.2">
      <c r="A26" s="124" t="s">
        <v>149</v>
      </c>
      <c r="B26" s="125">
        <v>0</v>
      </c>
    </row>
    <row r="27" spans="1:7" x14ac:dyDescent="0.2">
      <c r="A27" s="124" t="s">
        <v>150</v>
      </c>
      <c r="B27" s="125">
        <v>0</v>
      </c>
    </row>
    <row r="28" spans="1:7" x14ac:dyDescent="0.2">
      <c r="A28" s="124" t="s">
        <v>151</v>
      </c>
      <c r="B28" s="125">
        <v>0.05</v>
      </c>
    </row>
    <row r="29" spans="1:7" x14ac:dyDescent="0.2">
      <c r="A29" s="124" t="s">
        <v>152</v>
      </c>
      <c r="B29" s="125">
        <v>0</v>
      </c>
      <c r="G29" s="120" t="s">
        <v>285</v>
      </c>
    </row>
    <row r="30" spans="1:7" x14ac:dyDescent="0.2">
      <c r="A30" s="124" t="s">
        <v>153</v>
      </c>
      <c r="B30" s="125">
        <v>0</v>
      </c>
    </row>
    <row r="31" spans="1:7" x14ac:dyDescent="0.2">
      <c r="A31" s="124" t="s">
        <v>154</v>
      </c>
      <c r="B31" s="125">
        <v>0.23</v>
      </c>
    </row>
    <row r="32" spans="1:7" x14ac:dyDescent="0.2">
      <c r="A32" s="124" t="s">
        <v>155</v>
      </c>
      <c r="B32" s="125">
        <v>0</v>
      </c>
    </row>
    <row r="33" spans="1:2" x14ac:dyDescent="0.2">
      <c r="A33" s="124" t="s">
        <v>191</v>
      </c>
      <c r="B33" s="125">
        <v>0</v>
      </c>
    </row>
    <row r="34" spans="1:2" x14ac:dyDescent="0.2">
      <c r="A34" s="124" t="s">
        <v>156</v>
      </c>
      <c r="B34" s="125">
        <v>1.5</v>
      </c>
    </row>
    <row r="35" spans="1:2" x14ac:dyDescent="0.2">
      <c r="A35" s="124" t="s">
        <v>157</v>
      </c>
      <c r="B35" s="125">
        <v>0</v>
      </c>
    </row>
    <row r="36" spans="1:2" x14ac:dyDescent="0.2">
      <c r="A36" s="124" t="s">
        <v>17</v>
      </c>
      <c r="B36" s="119">
        <v>3</v>
      </c>
    </row>
    <row r="37" spans="1:2" x14ac:dyDescent="0.2">
      <c r="A37" s="124" t="s">
        <v>18</v>
      </c>
      <c r="B37" s="259">
        <v>30</v>
      </c>
    </row>
    <row r="38" spans="1:2" x14ac:dyDescent="0.2">
      <c r="A38" s="124" t="s">
        <v>19</v>
      </c>
      <c r="B38" s="259">
        <v>60.2</v>
      </c>
    </row>
    <row r="39" spans="1:2" x14ac:dyDescent="0.2">
      <c r="A39" s="124" t="s">
        <v>20</v>
      </c>
      <c r="B39" s="259">
        <v>1.5</v>
      </c>
    </row>
    <row r="40" spans="1:2" x14ac:dyDescent="0.2">
      <c r="A40" s="124" t="s">
        <v>21</v>
      </c>
      <c r="B40" s="119">
        <v>4</v>
      </c>
    </row>
    <row r="41" spans="1:2" x14ac:dyDescent="0.2">
      <c r="A41" s="124" t="s">
        <v>22</v>
      </c>
      <c r="B41" s="119">
        <v>1241</v>
      </c>
    </row>
    <row r="42" spans="1:2" x14ac:dyDescent="0.2">
      <c r="A42" s="124" t="s">
        <v>23</v>
      </c>
      <c r="B42" s="119">
        <v>11</v>
      </c>
    </row>
    <row r="43" spans="1:2" x14ac:dyDescent="0.2">
      <c r="A43" s="124" t="s">
        <v>24</v>
      </c>
      <c r="B43" s="119">
        <v>4</v>
      </c>
    </row>
    <row r="44" spans="1:2" x14ac:dyDescent="0.2">
      <c r="A44" s="124" t="s">
        <v>25</v>
      </c>
      <c r="B44" s="119">
        <v>2</v>
      </c>
    </row>
    <row r="45" spans="1:2" x14ac:dyDescent="0.2">
      <c r="A45" s="124" t="s">
        <v>26</v>
      </c>
      <c r="B45" s="119">
        <v>3</v>
      </c>
    </row>
    <row r="46" spans="1:2" x14ac:dyDescent="0.2">
      <c r="A46" s="124" t="s">
        <v>27</v>
      </c>
      <c r="B46" s="119">
        <v>60</v>
      </c>
    </row>
  </sheetData>
  <phoneticPr fontId="3" type="noConversion"/>
  <pageMargins left="0.75" right="0.75" top="1" bottom="1" header="0.5" footer="0.5"/>
  <pageSetup paperSize="9" orientation="portrait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2:M55"/>
  <sheetViews>
    <sheetView topLeftCell="A4" workbookViewId="0">
      <pane ySplit="4" topLeftCell="A8" activePane="bottomLeft" state="frozen"/>
      <selection activeCell="A4" sqref="A4"/>
      <selection pane="bottomLeft" activeCell="H21" sqref="H21"/>
    </sheetView>
  </sheetViews>
  <sheetFormatPr defaultRowHeight="11.25" x14ac:dyDescent="0.2"/>
  <cols>
    <col min="1" max="1" width="14.7109375" style="73" customWidth="1"/>
    <col min="2" max="2" width="7.28515625" style="72" customWidth="1"/>
    <col min="3" max="4" width="7.85546875" style="64" customWidth="1"/>
    <col min="5" max="5" width="5.85546875" style="70" customWidth="1"/>
    <col min="6" max="6" width="8" style="72" customWidth="1"/>
    <col min="7" max="7" width="6.7109375" style="70" customWidth="1"/>
    <col min="8" max="8" width="8.5703125" style="72" customWidth="1"/>
    <col min="9" max="9" width="9.140625" style="72"/>
    <col min="10" max="10" width="9.140625" style="64"/>
    <col min="11" max="11" width="12.7109375" style="64" hidden="1" customWidth="1"/>
    <col min="12" max="12" width="9.140625" style="64"/>
    <col min="13" max="13" width="9.140625" style="64" hidden="1" customWidth="1"/>
    <col min="14" max="16384" width="9.140625" style="64"/>
  </cols>
  <sheetData>
    <row r="2" spans="1:9" ht="15" x14ac:dyDescent="0.25">
      <c r="A2" s="260" t="s">
        <v>60</v>
      </c>
      <c r="B2" s="261"/>
      <c r="C2" s="261"/>
      <c r="D2" s="261"/>
      <c r="E2" s="261"/>
      <c r="F2" s="261"/>
      <c r="G2" s="261"/>
      <c r="H2" s="261"/>
      <c r="I2" s="262"/>
    </row>
    <row r="3" spans="1:9" s="67" customFormat="1" x14ac:dyDescent="0.2">
      <c r="A3" s="65" t="s">
        <v>61</v>
      </c>
      <c r="B3" s="263" t="str">
        <f>'DATA IN PUT'!B2</f>
        <v>SABRINA</v>
      </c>
      <c r="C3" s="263"/>
      <c r="D3" s="66"/>
      <c r="E3" s="66"/>
      <c r="F3" s="66"/>
      <c r="G3" s="66"/>
      <c r="H3" s="66"/>
      <c r="I3" s="66"/>
    </row>
    <row r="4" spans="1:9" s="67" customFormat="1" x14ac:dyDescent="0.2">
      <c r="A4" s="65" t="s">
        <v>62</v>
      </c>
      <c r="B4" s="269">
        <f>'DATA IN PUT'!B3</f>
        <v>4180</v>
      </c>
      <c r="C4" s="269"/>
      <c r="D4" s="66"/>
      <c r="E4" s="66"/>
      <c r="F4" s="68" t="s">
        <v>118</v>
      </c>
      <c r="G4" s="267" t="str">
        <f>'DATA IN PUT'!B5</f>
        <v>OLYA</v>
      </c>
      <c r="H4" s="267"/>
      <c r="I4" s="223" t="s">
        <v>257</v>
      </c>
    </row>
    <row r="5" spans="1:9" x14ac:dyDescent="0.2">
      <c r="A5" s="69" t="s">
        <v>63</v>
      </c>
      <c r="B5" s="264" t="str">
        <f>'DATA IN PUT'!B4</f>
        <v>07.04.2013</v>
      </c>
      <c r="C5" s="264"/>
      <c r="F5" s="71" t="s">
        <v>119</v>
      </c>
      <c r="G5" s="267" t="str">
        <f>'DATA IN PUT'!B6</f>
        <v>AMIRABAD</v>
      </c>
      <c r="H5" s="267"/>
      <c r="I5" s="170">
        <f>D8+D9</f>
        <v>2162.6260000000002</v>
      </c>
    </row>
    <row r="7" spans="1:9" s="70" customFormat="1" x14ac:dyDescent="0.2">
      <c r="A7" s="74" t="s">
        <v>0</v>
      </c>
      <c r="B7" s="62" t="s">
        <v>29</v>
      </c>
      <c r="C7" s="63" t="s">
        <v>30</v>
      </c>
      <c r="D7" s="63" t="s">
        <v>31</v>
      </c>
      <c r="E7" s="63" t="s">
        <v>32</v>
      </c>
      <c r="F7" s="62" t="s">
        <v>33</v>
      </c>
      <c r="G7" s="63" t="s">
        <v>34</v>
      </c>
      <c r="H7" s="62" t="s">
        <v>36</v>
      </c>
      <c r="I7" s="62" t="s">
        <v>35</v>
      </c>
    </row>
    <row r="8" spans="1:9" x14ac:dyDescent="0.2">
      <c r="A8" s="61" t="s">
        <v>1</v>
      </c>
      <c r="B8" s="62">
        <v>0</v>
      </c>
      <c r="C8" s="58"/>
      <c r="D8" s="59">
        <f>'DATA IN PUT'!B20</f>
        <v>2162.6260000000002</v>
      </c>
      <c r="E8" s="63">
        <f>'DATA IN PUT'!C20</f>
        <v>4.6500000000000004</v>
      </c>
      <c r="F8" s="62">
        <f>D8*E8</f>
        <v>10056.210900000002</v>
      </c>
      <c r="G8" s="63">
        <v>46.8</v>
      </c>
      <c r="H8" s="62">
        <f>D8*G8</f>
        <v>101210.8968</v>
      </c>
      <c r="I8" s="62">
        <v>23</v>
      </c>
    </row>
    <row r="9" spans="1:9" x14ac:dyDescent="0.2">
      <c r="A9" s="61" t="s">
        <v>2</v>
      </c>
      <c r="B9" s="62">
        <v>0</v>
      </c>
      <c r="C9" s="58"/>
      <c r="D9" s="59">
        <f>'DATA IN PUT'!B21</f>
        <v>0</v>
      </c>
      <c r="E9" s="63">
        <f>'DATA IN PUT'!C21</f>
        <v>10.5</v>
      </c>
      <c r="F9" s="62">
        <f t="shared" ref="F9:F34" si="0">D9*E9</f>
        <v>0</v>
      </c>
      <c r="G9" s="63">
        <v>46.5</v>
      </c>
      <c r="H9" s="62">
        <f t="shared" ref="H9:H34" si="1">D9*G9</f>
        <v>0</v>
      </c>
      <c r="I9" s="62">
        <v>25</v>
      </c>
    </row>
    <row r="10" spans="1:9" x14ac:dyDescent="0.2">
      <c r="A10" s="61" t="s">
        <v>3</v>
      </c>
      <c r="B10" s="62">
        <f>Calc!I43</f>
        <v>9.7560975609756115E-2</v>
      </c>
      <c r="C10" s="58">
        <f>'DATA IN PUT'!B17</f>
        <v>1.0069999999999999</v>
      </c>
      <c r="D10" s="59">
        <f>B10*C10</f>
        <v>9.8243902439024394E-2</v>
      </c>
      <c r="E10" s="63">
        <f>Calc!I45</f>
        <v>0.01</v>
      </c>
      <c r="F10" s="62">
        <f t="shared" si="0"/>
        <v>9.8243902439024405E-4</v>
      </c>
      <c r="G10" s="63">
        <f>Calc!I46</f>
        <v>80.84</v>
      </c>
      <c r="H10" s="62">
        <f t="shared" si="1"/>
        <v>7.9420370731707326</v>
      </c>
      <c r="I10" s="62">
        <f>Calc!I44</f>
        <v>0.1</v>
      </c>
    </row>
    <row r="11" spans="1:9" x14ac:dyDescent="0.2">
      <c r="A11" s="61" t="s">
        <v>4</v>
      </c>
      <c r="B11" s="62">
        <f>Calc!D50</f>
        <v>0</v>
      </c>
      <c r="C11" s="58">
        <f>C10</f>
        <v>1.0069999999999999</v>
      </c>
      <c r="D11" s="59">
        <f t="shared" ref="D11:D25" si="2">B11*C11</f>
        <v>0</v>
      </c>
      <c r="E11" s="63">
        <f>Calc!D52</f>
        <v>1.31</v>
      </c>
      <c r="F11" s="62">
        <f t="shared" si="0"/>
        <v>0</v>
      </c>
      <c r="G11" s="63">
        <f>Calc!D51</f>
        <v>72.599999999999994</v>
      </c>
      <c r="H11" s="62">
        <f t="shared" si="1"/>
        <v>0</v>
      </c>
      <c r="I11" s="62">
        <f>Calc!D53</f>
        <v>0.5</v>
      </c>
    </row>
    <row r="12" spans="1:9" x14ac:dyDescent="0.2">
      <c r="A12" s="61" t="s">
        <v>5</v>
      </c>
      <c r="B12" s="62">
        <f>Calc!I50</f>
        <v>0.97560975609756106</v>
      </c>
      <c r="C12" s="58">
        <f t="shared" ref="C12:C24" si="3">C11</f>
        <v>1.0069999999999999</v>
      </c>
      <c r="D12" s="59">
        <f t="shared" si="2"/>
        <v>0.98243902439024389</v>
      </c>
      <c r="E12" s="63">
        <f>Calc!I52</f>
        <v>0.01</v>
      </c>
      <c r="F12" s="62">
        <f t="shared" si="0"/>
        <v>9.8243902439024387E-3</v>
      </c>
      <c r="G12" s="63">
        <f>Calc!I51</f>
        <v>68.73</v>
      </c>
      <c r="H12" s="62">
        <f t="shared" si="1"/>
        <v>67.523034146341473</v>
      </c>
      <c r="I12" s="62">
        <f>Calc!I53</f>
        <v>0.7</v>
      </c>
    </row>
    <row r="13" spans="1:9" x14ac:dyDescent="0.2">
      <c r="A13" s="61" t="s">
        <v>6</v>
      </c>
      <c r="B13" s="62">
        <f>Calc!D57</f>
        <v>0.97560975609756106</v>
      </c>
      <c r="C13" s="58">
        <f t="shared" si="3"/>
        <v>1.0069999999999999</v>
      </c>
      <c r="D13" s="59">
        <f t="shared" si="2"/>
        <v>0.98243902439024389</v>
      </c>
      <c r="E13" s="63">
        <f>Calc!D59</f>
        <v>0.01</v>
      </c>
      <c r="F13" s="62">
        <f t="shared" si="0"/>
        <v>9.8243902439024387E-3</v>
      </c>
      <c r="G13" s="63">
        <f>Calc!D58</f>
        <v>68.73</v>
      </c>
      <c r="H13" s="62">
        <f t="shared" si="1"/>
        <v>67.523034146341473</v>
      </c>
      <c r="I13" s="62">
        <f>Calc!D60</f>
        <v>0.7</v>
      </c>
    </row>
    <row r="14" spans="1:9" x14ac:dyDescent="0.2">
      <c r="A14" s="61" t="s">
        <v>7</v>
      </c>
      <c r="B14" s="62">
        <f>Calc!I57</f>
        <v>1.3658536585365855</v>
      </c>
      <c r="C14" s="58">
        <f t="shared" si="3"/>
        <v>1.0069999999999999</v>
      </c>
      <c r="D14" s="59">
        <f t="shared" si="2"/>
        <v>1.3754146341463414</v>
      </c>
      <c r="E14" s="63">
        <f>Calc!I59</f>
        <v>0.01</v>
      </c>
      <c r="F14" s="62">
        <f t="shared" si="0"/>
        <v>1.3754146341463413E-2</v>
      </c>
      <c r="G14" s="63">
        <f>Calc!I58</f>
        <v>56.36</v>
      </c>
      <c r="H14" s="62">
        <f t="shared" si="1"/>
        <v>77.518368780487805</v>
      </c>
      <c r="I14" s="62">
        <f>Calc!I60</f>
        <v>2.2999999999999998</v>
      </c>
    </row>
    <row r="15" spans="1:9" x14ac:dyDescent="0.2">
      <c r="A15" s="61" t="s">
        <v>8</v>
      </c>
      <c r="B15" s="62">
        <f>Calc!D65</f>
        <v>1.3658536585365855</v>
      </c>
      <c r="C15" s="58">
        <f t="shared" si="3"/>
        <v>1.0069999999999999</v>
      </c>
      <c r="D15" s="59">
        <f t="shared" si="2"/>
        <v>1.3754146341463414</v>
      </c>
      <c r="E15" s="63">
        <f>Calc!D67</f>
        <v>0.01</v>
      </c>
      <c r="F15" s="62">
        <f t="shared" si="0"/>
        <v>1.3754146341463413E-2</v>
      </c>
      <c r="G15" s="63">
        <f>Calc!D66</f>
        <v>56.36</v>
      </c>
      <c r="H15" s="62">
        <f t="shared" si="1"/>
        <v>77.518368780487805</v>
      </c>
      <c r="I15" s="62">
        <f>Calc!D68</f>
        <v>2.2999999999999998</v>
      </c>
    </row>
    <row r="16" spans="1:9" x14ac:dyDescent="0.2">
      <c r="A16" s="61" t="s">
        <v>9</v>
      </c>
      <c r="B16" s="62">
        <f>Calc!I65</f>
        <v>1.2097560975609758</v>
      </c>
      <c r="C16" s="58">
        <f t="shared" si="3"/>
        <v>1.0069999999999999</v>
      </c>
      <c r="D16" s="59">
        <f t="shared" si="2"/>
        <v>1.2182243902439025</v>
      </c>
      <c r="E16" s="63">
        <f>Calc!I67</f>
        <v>1.2500000000000001E-2</v>
      </c>
      <c r="F16" s="62">
        <f t="shared" si="0"/>
        <v>1.5227804878048782E-2</v>
      </c>
      <c r="G16" s="63">
        <f>Calc!I66</f>
        <v>25.779500000000002</v>
      </c>
      <c r="H16" s="62">
        <f t="shared" si="1"/>
        <v>31.405215668292687</v>
      </c>
      <c r="I16" s="62">
        <f>Calc!I68</f>
        <v>1.8049999999999999</v>
      </c>
    </row>
    <row r="17" spans="1:9" x14ac:dyDescent="0.2">
      <c r="A17" s="61" t="s">
        <v>10</v>
      </c>
      <c r="B17" s="62">
        <f>Calc!I73</f>
        <v>0.97560975609756106</v>
      </c>
      <c r="C17" s="58">
        <f t="shared" si="3"/>
        <v>1.0069999999999999</v>
      </c>
      <c r="D17" s="59">
        <f t="shared" si="2"/>
        <v>0.98243902439024389</v>
      </c>
      <c r="E17" s="63">
        <f>Calc!I75</f>
        <v>0.01</v>
      </c>
      <c r="F17" s="62">
        <f t="shared" si="0"/>
        <v>9.8243902439024387E-3</v>
      </c>
      <c r="G17" s="63">
        <f>Calc!I74</f>
        <v>25.78</v>
      </c>
      <c r="H17" s="62">
        <f t="shared" si="1"/>
        <v>25.327278048780489</v>
      </c>
      <c r="I17" s="62">
        <f>Calc!I76</f>
        <v>1.5</v>
      </c>
    </row>
    <row r="18" spans="1:9" x14ac:dyDescent="0.2">
      <c r="A18" s="61" t="s">
        <v>11</v>
      </c>
      <c r="B18" s="62">
        <f>Calc!D81</f>
        <v>0.58536585365853666</v>
      </c>
      <c r="C18" s="58">
        <f t="shared" si="3"/>
        <v>1.0069999999999999</v>
      </c>
      <c r="D18" s="59">
        <f t="shared" si="2"/>
        <v>0.58946341463414631</v>
      </c>
      <c r="E18" s="63">
        <f>Calc!D83</f>
        <v>1.3</v>
      </c>
      <c r="F18" s="62">
        <f t="shared" si="0"/>
        <v>0.76630243902439021</v>
      </c>
      <c r="G18" s="63">
        <f>Calc!D82</f>
        <v>59</v>
      </c>
      <c r="H18" s="62">
        <f t="shared" si="1"/>
        <v>34.778341463414634</v>
      </c>
      <c r="I18" s="62">
        <f>Calc!D84</f>
        <v>4.3</v>
      </c>
    </row>
    <row r="19" spans="1:9" x14ac:dyDescent="0.2">
      <c r="A19" s="61" t="s">
        <v>12</v>
      </c>
      <c r="B19" s="62">
        <f>Calc!D89</f>
        <v>6.6273170731707323</v>
      </c>
      <c r="C19" s="58">
        <f t="shared" si="3"/>
        <v>1.0069999999999999</v>
      </c>
      <c r="D19" s="59">
        <f t="shared" si="2"/>
        <v>6.6737082926829263</v>
      </c>
      <c r="E19" s="63">
        <f>Calc!D91</f>
        <v>1.4015</v>
      </c>
      <c r="F19" s="62">
        <f t="shared" si="0"/>
        <v>9.3532021721951217</v>
      </c>
      <c r="G19" s="63">
        <f>Calc!D90</f>
        <v>59.585300000000004</v>
      </c>
      <c r="H19" s="62">
        <f t="shared" si="1"/>
        <v>397.65491073200002</v>
      </c>
      <c r="I19" s="62">
        <f>Calc!D92</f>
        <v>6.7</v>
      </c>
    </row>
    <row r="20" spans="1:9" x14ac:dyDescent="0.2">
      <c r="A20" s="61" t="s">
        <v>13</v>
      </c>
      <c r="B20" s="62">
        <f>Calc!I81</f>
        <v>0.58536585365853666</v>
      </c>
      <c r="C20" s="58">
        <f t="shared" si="3"/>
        <v>1.0069999999999999</v>
      </c>
      <c r="D20" s="59">
        <f t="shared" si="2"/>
        <v>0.58946341463414631</v>
      </c>
      <c r="E20" s="63">
        <f>Calc!I83</f>
        <v>1.3</v>
      </c>
      <c r="F20" s="62">
        <f t="shared" si="0"/>
        <v>0.76630243902439021</v>
      </c>
      <c r="G20" s="63">
        <f>Calc!I82</f>
        <v>40.200000000000003</v>
      </c>
      <c r="H20" s="62">
        <f t="shared" si="1"/>
        <v>23.696429268292682</v>
      </c>
      <c r="I20" s="62">
        <f>Calc!I84</f>
        <v>6.7</v>
      </c>
    </row>
    <row r="21" spans="1:9" x14ac:dyDescent="0.2">
      <c r="A21" s="61" t="s">
        <v>14</v>
      </c>
      <c r="B21" s="62">
        <f>Calc!I89</f>
        <v>0.48780487804878053</v>
      </c>
      <c r="C21" s="58">
        <f t="shared" si="3"/>
        <v>1.0069999999999999</v>
      </c>
      <c r="D21" s="59">
        <f t="shared" si="2"/>
        <v>0.49121951219512194</v>
      </c>
      <c r="E21" s="63">
        <f>Calc!I91</f>
        <v>1.3</v>
      </c>
      <c r="F21" s="62">
        <f t="shared" si="0"/>
        <v>0.63858536585365855</v>
      </c>
      <c r="G21" s="63">
        <f>Calc!I90</f>
        <v>37.799999999999997</v>
      </c>
      <c r="H21" s="62">
        <f t="shared" si="1"/>
        <v>18.568097560975609</v>
      </c>
      <c r="I21" s="62">
        <f>Calc!I92</f>
        <v>0.2</v>
      </c>
    </row>
    <row r="22" spans="1:9" x14ac:dyDescent="0.2">
      <c r="A22" s="61" t="s">
        <v>15</v>
      </c>
      <c r="B22" s="62">
        <f>Calc!D97</f>
        <v>22.439024390243905</v>
      </c>
      <c r="C22" s="58">
        <f t="shared" si="3"/>
        <v>1.0069999999999999</v>
      </c>
      <c r="D22" s="59">
        <f t="shared" si="2"/>
        <v>22.596097560975611</v>
      </c>
      <c r="E22" s="63">
        <f>Calc!D99</f>
        <v>2.0099999999999998</v>
      </c>
      <c r="F22" s="62">
        <f t="shared" si="0"/>
        <v>45.418156097560974</v>
      </c>
      <c r="G22" s="63">
        <f>Calc!D98</f>
        <v>25.6</v>
      </c>
      <c r="H22" s="62">
        <f t="shared" si="1"/>
        <v>578.46009756097567</v>
      </c>
      <c r="I22" s="62">
        <f>Calc!D100</f>
        <v>3.6</v>
      </c>
    </row>
    <row r="23" spans="1:9" x14ac:dyDescent="0.2">
      <c r="A23" s="61" t="s">
        <v>16</v>
      </c>
      <c r="B23" s="62">
        <f>Calc!D105</f>
        <v>0.29268292682926833</v>
      </c>
      <c r="C23" s="58">
        <f t="shared" si="3"/>
        <v>1.0069999999999999</v>
      </c>
      <c r="D23" s="59">
        <f t="shared" si="2"/>
        <v>0.29473170731707315</v>
      </c>
      <c r="E23" s="63">
        <f>Calc!D107</f>
        <v>1.3</v>
      </c>
      <c r="F23" s="62">
        <f t="shared" si="0"/>
        <v>0.38315121951219511</v>
      </c>
      <c r="G23" s="63">
        <f>Calc!D106</f>
        <v>25.68</v>
      </c>
      <c r="H23" s="62">
        <f t="shared" si="1"/>
        <v>7.568710243902439</v>
      </c>
      <c r="I23" s="62">
        <f>Calc!D108</f>
        <v>3.6</v>
      </c>
    </row>
    <row r="24" spans="1:9" x14ac:dyDescent="0.2">
      <c r="A24" s="61" t="s">
        <v>17</v>
      </c>
      <c r="B24" s="62">
        <v>0</v>
      </c>
      <c r="C24" s="58">
        <f t="shared" si="3"/>
        <v>1.0069999999999999</v>
      </c>
      <c r="D24" s="59">
        <f t="shared" si="2"/>
        <v>0</v>
      </c>
      <c r="E24" s="63">
        <v>1.04</v>
      </c>
      <c r="F24" s="62">
        <f t="shared" si="0"/>
        <v>0</v>
      </c>
      <c r="G24" s="63">
        <v>8.5</v>
      </c>
      <c r="H24" s="62">
        <f t="shared" si="1"/>
        <v>0</v>
      </c>
      <c r="I24" s="62"/>
    </row>
    <row r="25" spans="1:9" x14ac:dyDescent="0.2">
      <c r="A25" s="61" t="s">
        <v>18</v>
      </c>
      <c r="B25" s="62">
        <f>Calc!D73</f>
        <v>30</v>
      </c>
      <c r="C25" s="58">
        <f>'DATA IN PUT'!B19</f>
        <v>1</v>
      </c>
      <c r="D25" s="59">
        <f t="shared" si="2"/>
        <v>30</v>
      </c>
      <c r="E25" s="63">
        <f>Calc!D75</f>
        <v>3.23</v>
      </c>
      <c r="F25" s="200">
        <f t="shared" si="0"/>
        <v>96.9</v>
      </c>
      <c r="G25" s="63">
        <f>Calc!D74</f>
        <v>4.43</v>
      </c>
      <c r="H25" s="62">
        <f t="shared" si="1"/>
        <v>132.89999999999998</v>
      </c>
      <c r="I25" s="62">
        <f>Calc!D76</f>
        <v>10</v>
      </c>
    </row>
    <row r="26" spans="1:9" x14ac:dyDescent="0.2">
      <c r="A26" s="61" t="s">
        <v>19</v>
      </c>
      <c r="B26" s="62">
        <f>Calc!D46</f>
        <v>59.389671361502351</v>
      </c>
      <c r="C26" s="58">
        <f>'DATA IN PUT'!B18</f>
        <v>0.85199999999999998</v>
      </c>
      <c r="D26" s="59">
        <f>'DATA IN PUT'!B38</f>
        <v>60.2</v>
      </c>
      <c r="E26" s="63">
        <f>Calc!D44</f>
        <v>1.56</v>
      </c>
      <c r="F26" s="62">
        <f t="shared" si="0"/>
        <v>93.912000000000006</v>
      </c>
      <c r="G26" s="63">
        <f>Calc!D45</f>
        <v>47.4</v>
      </c>
      <c r="H26" s="62">
        <f t="shared" si="1"/>
        <v>2853.48</v>
      </c>
      <c r="I26" s="62">
        <f>Calc!D43</f>
        <v>0.2</v>
      </c>
    </row>
    <row r="27" spans="1:9" x14ac:dyDescent="0.2">
      <c r="A27" s="61" t="s">
        <v>20</v>
      </c>
      <c r="B27" s="62">
        <v>0</v>
      </c>
      <c r="C27" s="58"/>
      <c r="D27" s="59">
        <f>'DATA IN PUT'!B39</f>
        <v>1.5</v>
      </c>
      <c r="E27" s="63">
        <v>2.5</v>
      </c>
      <c r="F27" s="62">
        <f t="shared" si="0"/>
        <v>3.75</v>
      </c>
      <c r="G27" s="63">
        <v>9.31</v>
      </c>
      <c r="H27" s="62">
        <f t="shared" si="1"/>
        <v>13.965</v>
      </c>
      <c r="I27" s="62"/>
    </row>
    <row r="28" spans="1:9" x14ac:dyDescent="0.2">
      <c r="A28" s="61" t="s">
        <v>21</v>
      </c>
      <c r="B28" s="62">
        <v>0</v>
      </c>
      <c r="C28" s="58"/>
      <c r="D28" s="59">
        <f>'DATA IN PUT'!B40</f>
        <v>4</v>
      </c>
      <c r="E28" s="63">
        <v>0</v>
      </c>
      <c r="F28" s="62">
        <f t="shared" si="0"/>
        <v>0</v>
      </c>
      <c r="G28" s="63">
        <v>0</v>
      </c>
      <c r="H28" s="62">
        <f t="shared" si="1"/>
        <v>0</v>
      </c>
      <c r="I28" s="62"/>
    </row>
    <row r="29" spans="1:9" x14ac:dyDescent="0.2">
      <c r="A29" s="61" t="s">
        <v>22</v>
      </c>
      <c r="B29" s="62">
        <v>0</v>
      </c>
      <c r="C29" s="58"/>
      <c r="D29" s="59">
        <f>'DATA IN PUT'!B41</f>
        <v>1241</v>
      </c>
      <c r="E29" s="63">
        <v>5.19</v>
      </c>
      <c r="F29" s="62">
        <f t="shared" si="0"/>
        <v>6440.7900000000009</v>
      </c>
      <c r="G29" s="63">
        <v>38.520000000000003</v>
      </c>
      <c r="H29" s="62">
        <f t="shared" si="1"/>
        <v>47803.320000000007</v>
      </c>
      <c r="I29" s="62"/>
    </row>
    <row r="30" spans="1:9" x14ac:dyDescent="0.2">
      <c r="A30" s="61" t="s">
        <v>23</v>
      </c>
      <c r="B30" s="62">
        <v>0</v>
      </c>
      <c r="C30" s="58"/>
      <c r="D30" s="59">
        <f>'DATA IN PUT'!B42</f>
        <v>11</v>
      </c>
      <c r="E30" s="63">
        <v>5.31</v>
      </c>
      <c r="F30" s="62">
        <f t="shared" si="0"/>
        <v>58.41</v>
      </c>
      <c r="G30" s="63">
        <v>53.27</v>
      </c>
      <c r="H30" s="62">
        <f t="shared" si="1"/>
        <v>585.97</v>
      </c>
      <c r="I30" s="62"/>
    </row>
    <row r="31" spans="1:9" x14ac:dyDescent="0.2">
      <c r="A31" s="61" t="s">
        <v>24</v>
      </c>
      <c r="B31" s="62">
        <v>0</v>
      </c>
      <c r="C31" s="58"/>
      <c r="D31" s="59">
        <f>'DATA IN PUT'!B43</f>
        <v>4</v>
      </c>
      <c r="E31" s="63">
        <v>5</v>
      </c>
      <c r="F31" s="62">
        <f t="shared" si="0"/>
        <v>20</v>
      </c>
      <c r="G31" s="63">
        <v>13.5</v>
      </c>
      <c r="H31" s="62">
        <f t="shared" si="1"/>
        <v>54</v>
      </c>
      <c r="I31" s="62"/>
    </row>
    <row r="32" spans="1:9" x14ac:dyDescent="0.2">
      <c r="A32" s="61" t="s">
        <v>25</v>
      </c>
      <c r="B32" s="62">
        <v>0</v>
      </c>
      <c r="C32" s="58"/>
      <c r="D32" s="59">
        <f>'DATA IN PUT'!B44</f>
        <v>2</v>
      </c>
      <c r="E32" s="63">
        <v>9</v>
      </c>
      <c r="F32" s="62">
        <f t="shared" si="0"/>
        <v>18</v>
      </c>
      <c r="G32" s="63">
        <v>10</v>
      </c>
      <c r="H32" s="62">
        <f t="shared" si="1"/>
        <v>20</v>
      </c>
      <c r="I32" s="62"/>
    </row>
    <row r="33" spans="1:13" x14ac:dyDescent="0.2">
      <c r="A33" s="61" t="s">
        <v>26</v>
      </c>
      <c r="B33" s="62">
        <v>0</v>
      </c>
      <c r="C33" s="58"/>
      <c r="D33" s="59">
        <f>'DATA IN PUT'!B45</f>
        <v>3</v>
      </c>
      <c r="E33" s="63">
        <v>6.6</v>
      </c>
      <c r="F33" s="62">
        <f t="shared" si="0"/>
        <v>19.799999999999997</v>
      </c>
      <c r="G33" s="63">
        <v>35</v>
      </c>
      <c r="H33" s="62">
        <f t="shared" si="1"/>
        <v>105</v>
      </c>
      <c r="I33" s="62"/>
    </row>
    <row r="34" spans="1:13" x14ac:dyDescent="0.2">
      <c r="A34" s="61" t="s">
        <v>27</v>
      </c>
      <c r="B34" s="62">
        <v>0</v>
      </c>
      <c r="C34" s="58"/>
      <c r="D34" s="59">
        <f>'DATA IN PUT'!B46</f>
        <v>60</v>
      </c>
      <c r="E34" s="63">
        <v>2</v>
      </c>
      <c r="F34" s="62">
        <f t="shared" si="0"/>
        <v>120</v>
      </c>
      <c r="G34" s="63">
        <v>21.2</v>
      </c>
      <c r="H34" s="62">
        <f t="shared" si="1"/>
        <v>1272</v>
      </c>
      <c r="I34" s="62"/>
    </row>
    <row r="35" spans="1:13" x14ac:dyDescent="0.2">
      <c r="A35" s="75" t="s">
        <v>28</v>
      </c>
      <c r="B35" s="76"/>
      <c r="C35" s="58"/>
      <c r="D35" s="77">
        <f>SUM(D8:D34)</f>
        <v>3617.5752985365857</v>
      </c>
      <c r="E35" s="77">
        <f>F35/D35</f>
        <v>4.6951812719175408</v>
      </c>
      <c r="F35" s="76">
        <f>SUM(F8:F34)</f>
        <v>16985.171791440484</v>
      </c>
      <c r="G35" s="63">
        <f>H35/F35</f>
        <v>9.1531023431755685</v>
      </c>
      <c r="H35" s="76">
        <f>SUM(H8:H34)</f>
        <v>155467.01572347345</v>
      </c>
      <c r="I35" s="62">
        <f>SUM(I8:I34)</f>
        <v>93.204999999999998</v>
      </c>
    </row>
    <row r="36" spans="1:13" x14ac:dyDescent="0.2">
      <c r="M36" s="64" t="s">
        <v>48</v>
      </c>
    </row>
    <row r="37" spans="1:13" x14ac:dyDescent="0.2">
      <c r="M37" s="64" t="s">
        <v>49</v>
      </c>
    </row>
    <row r="38" spans="1:13" ht="12" thickBot="1" x14ac:dyDescent="0.25">
      <c r="F38" s="78"/>
      <c r="G38" s="79"/>
      <c r="H38" s="78"/>
      <c r="I38" s="78"/>
      <c r="J38" s="80"/>
      <c r="K38" s="80" t="s">
        <v>48</v>
      </c>
      <c r="L38" s="80"/>
      <c r="M38" s="64" t="s">
        <v>50</v>
      </c>
    </row>
    <row r="39" spans="1:13" ht="12" thickTop="1" x14ac:dyDescent="0.2">
      <c r="A39" s="61" t="s">
        <v>37</v>
      </c>
      <c r="B39" s="63">
        <f>F35/D35</f>
        <v>4.6951812719175408</v>
      </c>
      <c r="C39" s="81" t="s">
        <v>53</v>
      </c>
      <c r="D39" s="265" t="s">
        <v>43</v>
      </c>
      <c r="E39" s="265"/>
      <c r="F39" s="266"/>
      <c r="G39" s="83">
        <f>Calc!G27</f>
        <v>3.9254963575004478</v>
      </c>
      <c r="H39" s="84" t="s">
        <v>53</v>
      </c>
      <c r="I39" s="85" t="s">
        <v>57</v>
      </c>
      <c r="J39" s="86">
        <f>B44</f>
        <v>2.9999999999999805E-2</v>
      </c>
      <c r="K39" s="80" t="s">
        <v>49</v>
      </c>
      <c r="L39" s="80"/>
    </row>
    <row r="40" spans="1:13" ht="12" thickBot="1" x14ac:dyDescent="0.25">
      <c r="A40" s="61" t="s">
        <v>38</v>
      </c>
      <c r="B40" s="63">
        <f>I35/D35</f>
        <v>2.5764494808913619E-2</v>
      </c>
      <c r="C40" s="81" t="s">
        <v>53</v>
      </c>
      <c r="D40" s="265" t="s">
        <v>54</v>
      </c>
      <c r="E40" s="265"/>
      <c r="F40" s="266"/>
      <c r="G40" s="83">
        <f>H35/D35</f>
        <v>42.975474701622488</v>
      </c>
      <c r="H40" s="84" t="s">
        <v>53</v>
      </c>
      <c r="I40" s="270" t="str">
        <f>IF(G44&gt;G45,M36,IF(G44=G45,M37,M38))</f>
        <v>TRIM BY ASTERN</v>
      </c>
      <c r="J40" s="271"/>
      <c r="K40" s="80" t="s">
        <v>50</v>
      </c>
      <c r="L40" s="80"/>
    </row>
    <row r="41" spans="1:13" ht="12" thickTop="1" x14ac:dyDescent="0.2">
      <c r="A41" s="61" t="s">
        <v>39</v>
      </c>
      <c r="B41" s="63">
        <f>Calc!B22</f>
        <v>5.9933750000000003</v>
      </c>
      <c r="C41" s="81" t="s">
        <v>53</v>
      </c>
      <c r="D41" s="265" t="s">
        <v>55</v>
      </c>
      <c r="E41" s="265"/>
      <c r="F41" s="266"/>
      <c r="G41" s="82"/>
      <c r="H41" s="87" t="s">
        <v>53</v>
      </c>
      <c r="I41" s="78"/>
      <c r="J41" s="80"/>
      <c r="K41" s="80"/>
      <c r="L41" s="80"/>
    </row>
    <row r="42" spans="1:13" x14ac:dyDescent="0.2">
      <c r="A42" s="61" t="s">
        <v>40</v>
      </c>
      <c r="B42" s="63">
        <f>B41-B39</f>
        <v>1.2981937280824596</v>
      </c>
      <c r="C42" s="81" t="s">
        <v>53</v>
      </c>
      <c r="D42" s="265" t="s">
        <v>44</v>
      </c>
      <c r="E42" s="265"/>
      <c r="F42" s="266"/>
      <c r="G42" s="82"/>
      <c r="H42" s="87" t="s">
        <v>53</v>
      </c>
    </row>
    <row r="43" spans="1:13" x14ac:dyDescent="0.2">
      <c r="A43" s="61" t="s">
        <v>41</v>
      </c>
      <c r="B43" s="63">
        <f>B42-B40</f>
        <v>1.2724292332735461</v>
      </c>
      <c r="C43" s="81" t="s">
        <v>53</v>
      </c>
      <c r="D43" s="265" t="s">
        <v>45</v>
      </c>
      <c r="E43" s="265"/>
      <c r="F43" s="266"/>
      <c r="G43" s="82"/>
      <c r="H43" s="87" t="s">
        <v>53</v>
      </c>
    </row>
    <row r="44" spans="1:13" x14ac:dyDescent="0.2">
      <c r="A44" s="61" t="s">
        <v>42</v>
      </c>
      <c r="B44" s="63">
        <f>Calc!F10</f>
        <v>2.9999999999999805E-2</v>
      </c>
      <c r="C44" s="81" t="s">
        <v>53</v>
      </c>
      <c r="D44" s="265" t="s">
        <v>46</v>
      </c>
      <c r="E44" s="265"/>
      <c r="F44" s="266"/>
      <c r="G44" s="82">
        <f>'DATA IN PUT'!B14</f>
        <v>4</v>
      </c>
      <c r="H44" s="87" t="s">
        <v>53</v>
      </c>
    </row>
    <row r="45" spans="1:13" x14ac:dyDescent="0.2">
      <c r="C45" s="88"/>
      <c r="D45" s="265" t="s">
        <v>47</v>
      </c>
      <c r="E45" s="265"/>
      <c r="F45" s="266"/>
      <c r="G45" s="82">
        <f>'DATA IN PUT'!B10</f>
        <v>3.97</v>
      </c>
      <c r="H45" s="87" t="s">
        <v>53</v>
      </c>
    </row>
    <row r="49" spans="1:10" ht="12.75" x14ac:dyDescent="0.2">
      <c r="A49" s="278" t="s">
        <v>58</v>
      </c>
      <c r="B49" s="279"/>
      <c r="C49" s="279"/>
      <c r="D49" s="279"/>
      <c r="E49" s="279"/>
      <c r="F49" s="279"/>
      <c r="G49" s="279"/>
      <c r="H49" s="280"/>
      <c r="I49" s="89" t="s">
        <v>57</v>
      </c>
      <c r="J49" s="90"/>
    </row>
    <row r="50" spans="1:10" x14ac:dyDescent="0.2">
      <c r="A50" s="281" t="s">
        <v>59</v>
      </c>
      <c r="B50" s="281"/>
      <c r="C50" s="281"/>
      <c r="D50" s="282"/>
      <c r="E50" s="265" t="s">
        <v>46</v>
      </c>
      <c r="F50" s="265"/>
      <c r="G50" s="82"/>
      <c r="H50" s="87" t="s">
        <v>53</v>
      </c>
      <c r="I50" s="272" t="str">
        <f>IF(G50&gt;G51,M36,IF(G50=G51,M37,M38))</f>
        <v>EVEN KEEL</v>
      </c>
      <c r="J50" s="273"/>
    </row>
    <row r="51" spans="1:10" x14ac:dyDescent="0.2">
      <c r="A51" s="276"/>
      <c r="B51" s="276"/>
      <c r="C51" s="276"/>
      <c r="D51" s="277"/>
      <c r="E51" s="265" t="s">
        <v>47</v>
      </c>
      <c r="F51" s="265"/>
      <c r="G51" s="91"/>
      <c r="H51" s="92" t="s">
        <v>53</v>
      </c>
      <c r="I51" s="274"/>
      <c r="J51" s="275"/>
    </row>
    <row r="54" spans="1:10" x14ac:dyDescent="0.2">
      <c r="A54" s="93" t="s">
        <v>64</v>
      </c>
      <c r="G54" s="268" t="s">
        <v>65</v>
      </c>
      <c r="H54" s="268"/>
    </row>
    <row r="55" spans="1:10" x14ac:dyDescent="0.2">
      <c r="A55" s="93" t="str">
        <f>'DATA IN PUT'!B8</f>
        <v>R.LAGOSHNIAK</v>
      </c>
      <c r="G55" s="268" t="str">
        <f>'DATA IN PUT'!B7</f>
        <v>CAPT.P.SLIZHEVS'KYI</v>
      </c>
      <c r="H55" s="268"/>
      <c r="I55" s="268"/>
    </row>
  </sheetData>
  <sheetProtection password="CEC6" sheet="1" objects="1" scenarios="1"/>
  <mergeCells count="22">
    <mergeCell ref="G54:H54"/>
    <mergeCell ref="B4:C4"/>
    <mergeCell ref="G4:H4"/>
    <mergeCell ref="G55:I55"/>
    <mergeCell ref="I40:J40"/>
    <mergeCell ref="D41:F41"/>
    <mergeCell ref="D40:F40"/>
    <mergeCell ref="I50:J51"/>
    <mergeCell ref="A51:D51"/>
    <mergeCell ref="E51:F51"/>
    <mergeCell ref="D43:F43"/>
    <mergeCell ref="A49:H49"/>
    <mergeCell ref="D45:F45"/>
    <mergeCell ref="A50:D50"/>
    <mergeCell ref="E50:F50"/>
    <mergeCell ref="A2:I2"/>
    <mergeCell ref="B3:C3"/>
    <mergeCell ref="B5:C5"/>
    <mergeCell ref="D44:F44"/>
    <mergeCell ref="D39:F39"/>
    <mergeCell ref="G5:H5"/>
    <mergeCell ref="D42:F4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M63"/>
  <sheetViews>
    <sheetView showZeros="0" zoomScale="90" workbookViewId="0">
      <selection sqref="A1:N63"/>
    </sheetView>
  </sheetViews>
  <sheetFormatPr defaultRowHeight="11.25" x14ac:dyDescent="0.2"/>
  <cols>
    <col min="1" max="1" width="9.140625" style="109"/>
    <col min="2" max="10" width="7.5703125" style="109" customWidth="1"/>
    <col min="11" max="11" width="7.140625" style="109" customWidth="1"/>
    <col min="12" max="12" width="7.5703125" style="109" customWidth="1"/>
    <col min="13" max="16384" width="9.140625" style="109"/>
  </cols>
  <sheetData>
    <row r="1" spans="2:12" customFormat="1" ht="13.5" thickBot="1" x14ac:dyDescent="0.25"/>
    <row r="2" spans="2:12" customFormat="1" ht="13.5" thickTop="1" x14ac:dyDescent="0.2">
      <c r="B2" s="34" t="s">
        <v>51</v>
      </c>
      <c r="C2" s="35">
        <v>0</v>
      </c>
      <c r="D2" s="35">
        <v>10</v>
      </c>
      <c r="E2" s="35">
        <v>20</v>
      </c>
      <c r="F2" s="35">
        <v>30</v>
      </c>
      <c r="G2" s="35">
        <v>40</v>
      </c>
      <c r="H2" s="35">
        <v>50</v>
      </c>
      <c r="I2" s="35">
        <v>60</v>
      </c>
      <c r="J2" s="35">
        <v>70</v>
      </c>
      <c r="K2" s="35">
        <v>80</v>
      </c>
      <c r="L2" s="36">
        <v>90</v>
      </c>
    </row>
    <row r="3" spans="2:12" customFormat="1" ht="12.75" x14ac:dyDescent="0.2">
      <c r="B3" s="37" t="s">
        <v>52</v>
      </c>
      <c r="C3" s="38">
        <f>Calc!B38</f>
        <v>0</v>
      </c>
      <c r="D3" s="38">
        <f>Calc!C38</f>
        <v>0.23469032831561898</v>
      </c>
      <c r="E3" s="38">
        <f>Calc!D38</f>
        <v>0.524153428438767</v>
      </c>
      <c r="F3" s="38">
        <f>Calc!E38</f>
        <v>0.78240936404122996</v>
      </c>
      <c r="G3" s="38">
        <f>Calc!F38</f>
        <v>0.85199565317911885</v>
      </c>
      <c r="H3" s="38">
        <f>Calc!G38</f>
        <v>0.85328247721127282</v>
      </c>
      <c r="I3" s="38">
        <f>Calc!H38</f>
        <v>0.78385374314647738</v>
      </c>
      <c r="J3" s="38">
        <f>Calc!I38</f>
        <v>0.57797280552689223</v>
      </c>
      <c r="K3" s="38">
        <f>Calc!J38</f>
        <v>0.29614908161788556</v>
      </c>
      <c r="L3" s="39">
        <f>Calc!K38</f>
        <v>-2.5181271917540826E-2</v>
      </c>
    </row>
    <row r="4" spans="2:12" s="105" customFormat="1" ht="13.5" thickBot="1" x14ac:dyDescent="0.25">
      <c r="B4" s="102" t="s">
        <v>56</v>
      </c>
      <c r="C4" s="103">
        <v>0</v>
      </c>
      <c r="D4" s="103">
        <f>D3</f>
        <v>0.23469032831561898</v>
      </c>
      <c r="E4" s="103">
        <f>2*D4</f>
        <v>0.46938065663123796</v>
      </c>
      <c r="F4" s="103">
        <f>3*D4</f>
        <v>0.70407098494685694</v>
      </c>
      <c r="G4" s="103">
        <f>4*D4</f>
        <v>0.93876131326247592</v>
      </c>
      <c r="H4" s="103">
        <f>5*D4</f>
        <v>1.1734516415780949</v>
      </c>
      <c r="I4" s="103">
        <f>6*D4</f>
        <v>1.4081419698937139</v>
      </c>
      <c r="J4" s="103">
        <f>7*D4</f>
        <v>1.6428322982093329</v>
      </c>
      <c r="K4" s="103">
        <f>8*D4</f>
        <v>1.8775226265249518</v>
      </c>
      <c r="L4" s="104">
        <f>9*D4</f>
        <v>2.1122129548405706</v>
      </c>
    </row>
    <row r="5" spans="2:12" customFormat="1" ht="14.25" thickTop="1" thickBot="1" x14ac:dyDescent="0.25"/>
    <row r="6" spans="2:12" customFormat="1" ht="14.25" thickTop="1" thickBot="1" x14ac:dyDescent="0.25">
      <c r="C6" s="43" t="s">
        <v>114</v>
      </c>
      <c r="D6" s="44">
        <f>'DATA OUT'!E35</f>
        <v>4.6951812719175408</v>
      </c>
      <c r="E6" s="45" t="s">
        <v>53</v>
      </c>
      <c r="G6" s="40"/>
      <c r="H6" s="41" t="s">
        <v>115</v>
      </c>
      <c r="I6" s="178">
        <f>'DATA OUT'!D35</f>
        <v>3617.5752985365857</v>
      </c>
      <c r="J6" s="42" t="s">
        <v>116</v>
      </c>
    </row>
    <row r="7" spans="2:12" customFormat="1" ht="13.5" thickTop="1" x14ac:dyDescent="0.2">
      <c r="I7" s="177"/>
    </row>
    <row r="8" spans="2:12" customFormat="1" ht="12.75" x14ac:dyDescent="0.2"/>
    <row r="9" spans="2:12" customFormat="1" ht="12.75" x14ac:dyDescent="0.2"/>
    <row r="10" spans="2:12" customFormat="1" ht="12.75" x14ac:dyDescent="0.2"/>
    <row r="11" spans="2:12" customFormat="1" ht="12.75" x14ac:dyDescent="0.2"/>
    <row r="12" spans="2:12" customFormat="1" ht="12.75" x14ac:dyDescent="0.2"/>
    <row r="13" spans="2:12" customFormat="1" ht="12.75" x14ac:dyDescent="0.2"/>
    <row r="14" spans="2:12" customFormat="1" ht="12.75" x14ac:dyDescent="0.2"/>
    <row r="15" spans="2:12" customFormat="1" ht="12.75" x14ac:dyDescent="0.2"/>
    <row r="16" spans="2:12" customFormat="1" ht="12.75" x14ac:dyDescent="0.2"/>
    <row r="17" customFormat="1" ht="12.75" x14ac:dyDescent="0.2"/>
    <row r="18" customFormat="1" ht="12.75" x14ac:dyDescent="0.2"/>
    <row r="19" customFormat="1" ht="12.75" x14ac:dyDescent="0.2"/>
    <row r="20" customFormat="1" ht="12.75" x14ac:dyDescent="0.2"/>
    <row r="21" customFormat="1" ht="12.75" x14ac:dyDescent="0.2"/>
    <row r="22" customFormat="1" ht="12.75" x14ac:dyDescent="0.2"/>
    <row r="23" customFormat="1" ht="12.75" x14ac:dyDescent="0.2"/>
    <row r="24" customFormat="1" ht="12.75" x14ac:dyDescent="0.2"/>
    <row r="25" customFormat="1" ht="12.75" x14ac:dyDescent="0.2"/>
    <row r="26" customFormat="1" ht="12.75" x14ac:dyDescent="0.2"/>
    <row r="27" customFormat="1" ht="12.75" x14ac:dyDescent="0.2"/>
    <row r="28" customFormat="1" ht="12.75" x14ac:dyDescent="0.2"/>
    <row r="29" customFormat="1" ht="12.75" x14ac:dyDescent="0.2"/>
    <row r="30" customFormat="1" ht="12.75" x14ac:dyDescent="0.2"/>
    <row r="31" customFormat="1" ht="12.75" x14ac:dyDescent="0.2"/>
    <row r="32" customFormat="1" ht="12.75" x14ac:dyDescent="0.2"/>
    <row r="33" spans="2:12" customFormat="1" ht="12.75" x14ac:dyDescent="0.2"/>
    <row r="34" spans="2:12" customFormat="1" ht="12.75" x14ac:dyDescent="0.2">
      <c r="B34" s="129" t="s">
        <v>234</v>
      </c>
    </row>
    <row r="35" spans="2:12" customFormat="1" ht="12.75" x14ac:dyDescent="0.2">
      <c r="B35" s="109" t="s">
        <v>235</v>
      </c>
    </row>
    <row r="36" spans="2:12" customFormat="1" ht="13.5" thickBot="1" x14ac:dyDescent="0.25">
      <c r="B36" s="130" t="s">
        <v>236</v>
      </c>
      <c r="C36" s="128"/>
      <c r="D36" s="128"/>
      <c r="E36" s="128"/>
      <c r="F36" s="128"/>
      <c r="G36" s="128"/>
      <c r="H36" s="128"/>
      <c r="I36" s="128"/>
      <c r="J36" s="128"/>
      <c r="K36" s="128"/>
    </row>
    <row r="37" spans="2:12" customFormat="1" ht="13.5" thickTop="1" x14ac:dyDescent="0.2">
      <c r="B37" s="168" t="s">
        <v>243</v>
      </c>
      <c r="C37" s="134"/>
      <c r="D37" s="134"/>
      <c r="E37" s="134"/>
      <c r="F37" s="134"/>
      <c r="G37" s="134"/>
      <c r="H37" s="134"/>
      <c r="I37" s="134"/>
      <c r="J37" s="134"/>
      <c r="K37" s="134"/>
      <c r="L37" s="187"/>
    </row>
    <row r="38" spans="2:12" ht="12.75" x14ac:dyDescent="0.2">
      <c r="B38" s="135" t="s">
        <v>237</v>
      </c>
      <c r="C38" s="136">
        <v>5.5E-2</v>
      </c>
      <c r="D38" s="137" t="s">
        <v>238</v>
      </c>
      <c r="E38" s="137"/>
      <c r="F38" s="137"/>
      <c r="G38" s="137"/>
      <c r="H38" s="137"/>
      <c r="I38" s="137"/>
      <c r="J38" s="138">
        <f>Calc!P10</f>
        <v>0.17796195230551792</v>
      </c>
      <c r="K38" s="146" t="str">
        <f>IF(J38&gt;C38,"YES","NO")</f>
        <v>YES</v>
      </c>
      <c r="L38" s="189"/>
    </row>
    <row r="39" spans="2:12" ht="12.75" x14ac:dyDescent="0.2">
      <c r="B39" s="135" t="s">
        <v>239</v>
      </c>
      <c r="C39" s="139">
        <v>0.09</v>
      </c>
      <c r="D39" s="137" t="s">
        <v>240</v>
      </c>
      <c r="E39" s="140"/>
      <c r="F39" s="137"/>
      <c r="G39" s="137"/>
      <c r="H39" s="137"/>
      <c r="I39" s="137"/>
      <c r="J39" s="138">
        <f>Calc!P19</f>
        <v>0.39065058523123086</v>
      </c>
      <c r="K39" s="146" t="str">
        <f>IF(J39&gt;C39,"YES","NO")</f>
        <v>YES</v>
      </c>
      <c r="L39" s="189"/>
    </row>
    <row r="40" spans="2:12" ht="13.5" thickBot="1" x14ac:dyDescent="0.25">
      <c r="B40" s="167" t="s">
        <v>241</v>
      </c>
      <c r="C40" s="141">
        <v>0.03</v>
      </c>
      <c r="D40" s="137" t="s">
        <v>242</v>
      </c>
      <c r="E40" s="137"/>
      <c r="F40" s="137"/>
      <c r="G40" s="137"/>
      <c r="H40" s="137"/>
      <c r="I40" s="137"/>
      <c r="J40" s="138">
        <f>Calc!P29</f>
        <v>0.14362211976092024</v>
      </c>
      <c r="K40" s="146" t="str">
        <f>IF(J40&gt;C40,"YES","NO")</f>
        <v>YES</v>
      </c>
      <c r="L40" s="189"/>
    </row>
    <row r="41" spans="2:12" ht="13.5" thickTop="1" x14ac:dyDescent="0.2">
      <c r="B41" s="168" t="s">
        <v>244</v>
      </c>
      <c r="C41" s="142"/>
      <c r="D41" s="143"/>
      <c r="E41" s="143"/>
      <c r="F41" s="143"/>
      <c r="G41" s="143"/>
      <c r="H41" s="143"/>
      <c r="I41" s="143"/>
      <c r="J41" s="144"/>
      <c r="K41" s="184"/>
      <c r="L41" s="188"/>
    </row>
    <row r="42" spans="2:12" ht="12.75" x14ac:dyDescent="0.2">
      <c r="B42" s="145"/>
      <c r="C42" s="137" t="s">
        <v>245</v>
      </c>
      <c r="D42" s="137"/>
      <c r="E42" s="137"/>
      <c r="F42" s="137"/>
      <c r="G42" s="137"/>
      <c r="H42" s="146">
        <v>0.2</v>
      </c>
      <c r="I42" s="137" t="s">
        <v>246</v>
      </c>
      <c r="J42" s="300">
        <f>Calc!E38</f>
        <v>0.78240936404122996</v>
      </c>
      <c r="K42" s="285" t="str">
        <f>IF(J42&gt;H42,"YES","NO")</f>
        <v>YES</v>
      </c>
      <c r="L42" s="189"/>
    </row>
    <row r="43" spans="2:12" x14ac:dyDescent="0.2">
      <c r="B43" s="148"/>
      <c r="C43" s="137" t="s">
        <v>247</v>
      </c>
      <c r="D43" s="137"/>
      <c r="E43" s="137"/>
      <c r="F43" s="137"/>
      <c r="G43" s="137"/>
      <c r="H43" s="137"/>
      <c r="I43" s="137"/>
      <c r="J43" s="300"/>
      <c r="K43" s="285"/>
      <c r="L43" s="189"/>
    </row>
    <row r="44" spans="2:12" ht="13.5" thickBot="1" x14ac:dyDescent="0.25">
      <c r="B44" s="148"/>
      <c r="C44" s="137"/>
      <c r="D44" s="137"/>
      <c r="E44" s="137"/>
      <c r="F44" s="137"/>
      <c r="G44" s="137"/>
      <c r="H44" s="137"/>
      <c r="I44" s="137"/>
      <c r="J44" s="147"/>
      <c r="K44" s="185"/>
      <c r="L44" s="189"/>
    </row>
    <row r="45" spans="2:12" ht="13.5" thickTop="1" x14ac:dyDescent="0.2">
      <c r="B45" s="168" t="s">
        <v>248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88"/>
    </row>
    <row r="46" spans="2:12" ht="12.75" x14ac:dyDescent="0.2">
      <c r="B46" s="145"/>
      <c r="C46" s="137" t="s">
        <v>269</v>
      </c>
      <c r="D46" s="137"/>
      <c r="E46" s="137"/>
      <c r="F46" s="137"/>
      <c r="G46" s="137"/>
      <c r="H46" s="137"/>
      <c r="I46" s="137"/>
      <c r="J46" s="138">
        <f>Calc!O33</f>
        <v>0.85328247721127282</v>
      </c>
      <c r="K46" s="286" t="str">
        <f>IF(J48&gt;C47,"YES","NO")</f>
        <v>YES</v>
      </c>
      <c r="L46" s="189"/>
    </row>
    <row r="47" spans="2:12" ht="12.75" x14ac:dyDescent="0.2">
      <c r="B47" s="149"/>
      <c r="C47" s="141">
        <v>30</v>
      </c>
      <c r="D47" s="150" t="s">
        <v>251</v>
      </c>
      <c r="E47" s="137"/>
      <c r="F47" s="137"/>
      <c r="G47" s="137"/>
      <c r="H47" s="137"/>
      <c r="I47" s="150"/>
      <c r="J47" s="151" t="s">
        <v>250</v>
      </c>
      <c r="K47" s="286"/>
      <c r="L47" s="189"/>
    </row>
    <row r="48" spans="2:12" ht="13.5" thickBot="1" x14ac:dyDescent="0.25">
      <c r="B48" s="152"/>
      <c r="C48" s="153"/>
      <c r="D48" s="153"/>
      <c r="E48" s="137"/>
      <c r="F48" s="137"/>
      <c r="G48" s="137"/>
      <c r="H48" s="137"/>
      <c r="I48" s="154"/>
      <c r="J48" s="155">
        <f>Calc!O35</f>
        <v>50</v>
      </c>
      <c r="K48" s="286"/>
      <c r="L48" s="189"/>
    </row>
    <row r="49" spans="1:13" ht="13.5" thickTop="1" x14ac:dyDescent="0.2">
      <c r="B49" s="169" t="s">
        <v>252</v>
      </c>
      <c r="C49" s="156"/>
      <c r="D49" s="156"/>
      <c r="E49" s="143"/>
      <c r="F49" s="143"/>
      <c r="G49" s="143"/>
      <c r="H49" s="143"/>
      <c r="I49" s="157"/>
      <c r="J49" s="158"/>
      <c r="K49" s="158"/>
      <c r="L49" s="188"/>
    </row>
    <row r="50" spans="1:13" ht="12.75" x14ac:dyDescent="0.2">
      <c r="B50" s="145"/>
      <c r="C50" s="137" t="s">
        <v>253</v>
      </c>
      <c r="D50" s="137"/>
      <c r="E50" s="137"/>
      <c r="F50" s="137"/>
      <c r="G50" s="159"/>
      <c r="H50" s="146">
        <v>0.15</v>
      </c>
      <c r="I50" s="137" t="s">
        <v>254</v>
      </c>
      <c r="J50" s="147">
        <f>'DATA OUT'!B43</f>
        <v>1.2724292332735461</v>
      </c>
      <c r="K50" s="186" t="str">
        <f>IF(J50&gt;H50,"YES","NO")</f>
        <v>YES</v>
      </c>
      <c r="L50" s="189"/>
    </row>
    <row r="51" spans="1:13" ht="12.75" x14ac:dyDescent="0.2">
      <c r="B51" s="160"/>
      <c r="C51" s="161" t="s">
        <v>255</v>
      </c>
      <c r="D51" s="162"/>
      <c r="E51" s="162"/>
      <c r="F51" s="162"/>
      <c r="G51" s="162"/>
      <c r="H51" s="163">
        <v>0.05</v>
      </c>
      <c r="I51" s="162" t="s">
        <v>53</v>
      </c>
      <c r="J51" s="147">
        <f>'DATA OUT'!B43</f>
        <v>1.2724292332735461</v>
      </c>
      <c r="K51" s="186" t="str">
        <f>IF(J51&gt;H51,"YES","NO")</f>
        <v>YES</v>
      </c>
      <c r="L51" s="189"/>
    </row>
    <row r="52" spans="1:13" ht="13.5" thickBot="1" x14ac:dyDescent="0.25">
      <c r="B52" s="160"/>
      <c r="C52" s="161"/>
      <c r="D52" s="162"/>
      <c r="E52" s="162"/>
      <c r="F52" s="162"/>
      <c r="G52" s="162"/>
      <c r="H52" s="163"/>
      <c r="I52" s="162"/>
      <c r="J52" s="185"/>
      <c r="K52" s="186"/>
      <c r="L52" s="189"/>
    </row>
    <row r="53" spans="1:13" ht="13.5" thickTop="1" x14ac:dyDescent="0.2">
      <c r="B53" s="168" t="s">
        <v>265</v>
      </c>
      <c r="C53" s="190"/>
      <c r="D53" s="191"/>
      <c r="E53" s="191"/>
      <c r="F53" s="191"/>
      <c r="G53" s="191"/>
      <c r="H53" s="192"/>
      <c r="I53" s="191"/>
      <c r="J53" s="193"/>
      <c r="K53" s="158"/>
      <c r="L53" s="188"/>
    </row>
    <row r="54" spans="1:13" ht="12.75" x14ac:dyDescent="0.2">
      <c r="B54" s="160"/>
      <c r="C54" s="162" t="s">
        <v>256</v>
      </c>
      <c r="D54" s="162"/>
      <c r="E54" s="162"/>
      <c r="F54" s="162"/>
      <c r="G54" s="162"/>
      <c r="H54" s="163">
        <v>0.3</v>
      </c>
      <c r="I54" s="162" t="s">
        <v>53</v>
      </c>
      <c r="J54" s="147">
        <f>'DATA OUT'!B43</f>
        <v>1.2724292332735461</v>
      </c>
      <c r="K54" s="186" t="str">
        <f>IF(J54&gt;H54,"YES","NO")</f>
        <v>YES</v>
      </c>
      <c r="L54" s="189"/>
    </row>
    <row r="55" spans="1:13" ht="12" thickBot="1" x14ac:dyDescent="0.25">
      <c r="B55" s="164"/>
      <c r="C55" s="165"/>
      <c r="D55" s="165"/>
      <c r="E55" s="165"/>
      <c r="F55" s="165"/>
      <c r="G55" s="165"/>
      <c r="H55" s="165"/>
      <c r="I55" s="165"/>
      <c r="J55" s="165"/>
      <c r="K55" s="165"/>
      <c r="L55" s="166"/>
    </row>
    <row r="56" spans="1:13" ht="12.75" thickTop="1" thickBot="1" x14ac:dyDescent="0.25"/>
    <row r="57" spans="1:13" ht="12" customHeight="1" thickTop="1" x14ac:dyDescent="0.2">
      <c r="B57" s="293" t="s">
        <v>266</v>
      </c>
      <c r="C57" s="293"/>
      <c r="D57" s="287" t="str">
        <f>IF(AND(K38=K39,K40=K42,K46=K50,K50=K51,K51="YES"),"STABLE","UNSTABLE")</f>
        <v>STABLE</v>
      </c>
      <c r="E57" s="288"/>
      <c r="F57" s="288"/>
      <c r="G57" s="288"/>
      <c r="H57" s="288"/>
      <c r="I57" s="288"/>
      <c r="J57" s="289"/>
      <c r="L57" s="194" t="s">
        <v>267</v>
      </c>
    </row>
    <row r="58" spans="1:13" ht="12" customHeight="1" x14ac:dyDescent="0.2">
      <c r="B58" s="293"/>
      <c r="C58" s="293"/>
      <c r="D58" s="290"/>
      <c r="E58" s="291"/>
      <c r="F58" s="291"/>
      <c r="G58" s="291"/>
      <c r="H58" s="291"/>
      <c r="I58" s="291"/>
      <c r="J58" s="292"/>
    </row>
    <row r="59" spans="1:13" ht="12" customHeight="1" x14ac:dyDescent="0.2">
      <c r="B59" s="293"/>
      <c r="C59" s="293"/>
      <c r="D59" s="294" t="str">
        <f>IF(AND('DATA IN PUT'!B9="GRAIN",J54&lt;H54),"UNSTABLE FOR GRAIN","0")</f>
        <v>0</v>
      </c>
      <c r="E59" s="295"/>
      <c r="F59" s="295"/>
      <c r="G59" s="295"/>
      <c r="H59" s="295"/>
      <c r="I59" s="295"/>
      <c r="J59" s="296"/>
    </row>
    <row r="60" spans="1:13" ht="12" customHeight="1" thickBot="1" x14ac:dyDescent="0.25">
      <c r="B60" s="293"/>
      <c r="C60" s="293"/>
      <c r="D60" s="297"/>
      <c r="E60" s="298"/>
      <c r="F60" s="298"/>
      <c r="G60" s="298"/>
      <c r="H60" s="298"/>
      <c r="I60" s="298"/>
      <c r="J60" s="299"/>
    </row>
    <row r="61" spans="1:13" ht="12" thickTop="1" x14ac:dyDescent="0.2"/>
    <row r="62" spans="1:13" ht="12.75" x14ac:dyDescent="0.2">
      <c r="A62" s="224" t="s">
        <v>270</v>
      </c>
      <c r="B62" s="283" t="str">
        <f>'DATA IN PUT'!B8</f>
        <v>R.LAGOSHNIAK</v>
      </c>
      <c r="C62" s="284"/>
      <c r="D62" s="225"/>
      <c r="E62" s="225"/>
      <c r="F62" s="225"/>
      <c r="G62" s="225"/>
      <c r="H62" s="225"/>
      <c r="I62" s="225"/>
      <c r="J62" s="225" t="s">
        <v>268</v>
      </c>
      <c r="K62" s="226" t="str">
        <f>'DATA IN PUT'!B7</f>
        <v>CAPT.P.SLIZHEVS'KYI</v>
      </c>
      <c r="L62" s="227"/>
      <c r="M62" s="225"/>
    </row>
    <row r="63" spans="1:13" x14ac:dyDescent="0.2">
      <c r="A63" s="225"/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</row>
  </sheetData>
  <sheetProtection password="CEC6" sheet="1" objects="1" scenarios="1"/>
  <mergeCells count="7">
    <mergeCell ref="B62:C62"/>
    <mergeCell ref="K42:K43"/>
    <mergeCell ref="K46:K48"/>
    <mergeCell ref="D57:J58"/>
    <mergeCell ref="B57:C60"/>
    <mergeCell ref="D59:J60"/>
    <mergeCell ref="J42:J43"/>
  </mergeCells>
  <phoneticPr fontId="3" type="noConversion"/>
  <conditionalFormatting sqref="D57:J58">
    <cfRule type="cellIs" dxfId="1" priority="1" stopIfTrue="1" operator="notEqual">
      <formula>"STABLE"</formula>
    </cfRule>
  </conditionalFormatting>
  <conditionalFormatting sqref="D59:J60">
    <cfRule type="cellIs" dxfId="0" priority="2" stopIfTrue="1" operator="equal">
      <formula>$L$57</formula>
    </cfRule>
  </conditionalFormatting>
  <printOptions horizontalCentered="1" verticalCentered="1"/>
  <pageMargins left="0" right="0" top="0" bottom="0" header="0" footer="0"/>
  <pageSetup paperSize="9" orientation="portrait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P42"/>
  <sheetViews>
    <sheetView zoomScale="75" workbookViewId="0">
      <selection activeCell="N30" sqref="N30"/>
    </sheetView>
  </sheetViews>
  <sheetFormatPr defaultRowHeight="12.75" x14ac:dyDescent="0.2"/>
  <cols>
    <col min="7" max="7" width="1.85546875" customWidth="1"/>
    <col min="8" max="8" width="12.5703125" customWidth="1"/>
    <col min="9" max="9" width="11.7109375" customWidth="1"/>
    <col min="10" max="10" width="2.85546875" customWidth="1"/>
    <col min="11" max="11" width="13.85546875" customWidth="1"/>
    <col min="13" max="13" width="1.85546875" customWidth="1"/>
  </cols>
  <sheetData>
    <row r="1" spans="1:15" ht="12.75" customHeight="1" x14ac:dyDescent="0.3">
      <c r="A1" s="106"/>
      <c r="B1" s="106"/>
      <c r="C1" s="321" t="s">
        <v>280</v>
      </c>
      <c r="D1" s="321"/>
      <c r="E1" s="321"/>
      <c r="F1" s="321"/>
      <c r="G1" s="321"/>
      <c r="H1" s="321"/>
      <c r="I1" s="321"/>
      <c r="J1" s="321"/>
      <c r="K1" s="321"/>
      <c r="L1" s="321"/>
      <c r="M1" s="205"/>
    </row>
    <row r="2" spans="1:15" ht="12.75" customHeight="1" x14ac:dyDescent="0.3">
      <c r="A2" s="106"/>
      <c r="B2" s="106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205"/>
    </row>
    <row r="3" spans="1:15" ht="12.75" customHeight="1" x14ac:dyDescent="0.3">
      <c r="A3" s="106"/>
      <c r="B3" s="106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205"/>
    </row>
    <row r="4" spans="1:15" ht="12.75" customHeight="1" x14ac:dyDescent="0.3">
      <c r="A4" s="106"/>
      <c r="B4" s="106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</row>
    <row r="5" spans="1:15" ht="13.5" thickBot="1" x14ac:dyDescent="0.25">
      <c r="C5" s="107" t="s">
        <v>63</v>
      </c>
      <c r="D5" s="322" t="s">
        <v>282</v>
      </c>
      <c r="E5" s="323"/>
      <c r="H5" s="207" t="s">
        <v>213</v>
      </c>
      <c r="I5" s="209">
        <f>'DATA IN PUT'!E19</f>
        <v>850</v>
      </c>
      <c r="J5" s="213" t="s">
        <v>277</v>
      </c>
      <c r="K5" s="212" t="s">
        <v>214</v>
      </c>
      <c r="L5" s="210">
        <f>'DATA IN PUT'!B10</f>
        <v>3.97</v>
      </c>
      <c r="M5" s="218" t="s">
        <v>215</v>
      </c>
    </row>
    <row r="6" spans="1:15" ht="12.75" customHeight="1" x14ac:dyDescent="0.2">
      <c r="A6" s="311" t="s">
        <v>216</v>
      </c>
      <c r="C6" s="107" t="s">
        <v>117</v>
      </c>
      <c r="D6" s="324">
        <f>'DATA IN PUT'!B3</f>
        <v>4180</v>
      </c>
      <c r="E6" s="325"/>
      <c r="H6" s="207" t="s">
        <v>217</v>
      </c>
      <c r="I6" s="209">
        <f>'DATA IN PUT'!E20</f>
        <v>1097.8</v>
      </c>
      <c r="J6" s="213" t="s">
        <v>277</v>
      </c>
      <c r="K6" s="212" t="s">
        <v>218</v>
      </c>
      <c r="L6" s="210">
        <f>'DATA IN PUT'!B14</f>
        <v>4</v>
      </c>
      <c r="M6" s="218" t="s">
        <v>215</v>
      </c>
    </row>
    <row r="7" spans="1:15" ht="13.5" customHeight="1" x14ac:dyDescent="0.2">
      <c r="A7" s="312"/>
      <c r="C7" s="327" t="s">
        <v>219</v>
      </c>
      <c r="D7" s="327"/>
      <c r="E7" s="326" t="str">
        <f>'DATA IN PUT'!B5</f>
        <v>OLYA</v>
      </c>
      <c r="F7" s="326"/>
      <c r="H7" s="207" t="s">
        <v>220</v>
      </c>
      <c r="I7" s="209">
        <f>'DATA IN PUT'!E21</f>
        <v>0</v>
      </c>
      <c r="J7" s="213" t="s">
        <v>277</v>
      </c>
      <c r="K7" s="212" t="s">
        <v>221</v>
      </c>
      <c r="L7" s="214">
        <f>'DATA IN PUT'!B13</f>
        <v>3.99</v>
      </c>
      <c r="M7" s="218" t="s">
        <v>215</v>
      </c>
    </row>
    <row r="8" spans="1:15" ht="13.5" customHeight="1" x14ac:dyDescent="0.2">
      <c r="A8" s="312"/>
      <c r="C8" s="327" t="s">
        <v>222</v>
      </c>
      <c r="D8" s="327"/>
      <c r="E8" s="326" t="str">
        <f>'DATA IN PUT'!B6</f>
        <v>AMIRABAD</v>
      </c>
      <c r="F8" s="326"/>
      <c r="H8" s="217" t="s">
        <v>223</v>
      </c>
      <c r="I8" s="211">
        <f>SUM(I5:I7)</f>
        <v>1947.8</v>
      </c>
      <c r="J8" s="213" t="s">
        <v>277</v>
      </c>
      <c r="K8" s="215" t="s">
        <v>276</v>
      </c>
      <c r="L8" s="216">
        <v>4.4059999999999997</v>
      </c>
      <c r="M8" s="218" t="s">
        <v>215</v>
      </c>
    </row>
    <row r="9" spans="1:15" ht="12.75" customHeight="1" x14ac:dyDescent="0.2">
      <c r="A9" s="312"/>
      <c r="C9" s="315" t="s">
        <v>278</v>
      </c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5"/>
    </row>
    <row r="10" spans="1:15" ht="13.5" customHeight="1" thickBot="1" x14ac:dyDescent="0.25">
      <c r="A10" s="312"/>
      <c r="B10" s="314" t="s">
        <v>224</v>
      </c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5"/>
    </row>
    <row r="11" spans="1:15" ht="13.5" customHeight="1" thickBot="1" x14ac:dyDescent="0.25">
      <c r="A11" s="312"/>
      <c r="B11" s="310" t="s">
        <v>274</v>
      </c>
      <c r="C11" s="310"/>
      <c r="D11" s="206" t="s">
        <v>225</v>
      </c>
      <c r="E11" s="316" t="s">
        <v>226</v>
      </c>
      <c r="F11" s="317"/>
      <c r="G11" s="108"/>
      <c r="H11" s="206" t="s">
        <v>227</v>
      </c>
      <c r="I11" s="316" t="s">
        <v>228</v>
      </c>
      <c r="J11" s="317"/>
      <c r="K11" s="108"/>
      <c r="L11" s="108"/>
      <c r="M11" s="108"/>
      <c r="N11" s="108"/>
      <c r="O11" s="108"/>
    </row>
    <row r="12" spans="1:15" ht="18" customHeight="1" thickBot="1" x14ac:dyDescent="0.3">
      <c r="A12" s="313"/>
      <c r="B12" s="229"/>
      <c r="C12" s="249"/>
      <c r="D12" s="230"/>
      <c r="E12" s="230"/>
      <c r="F12" s="233"/>
      <c r="G12" s="108"/>
      <c r="H12" s="108"/>
      <c r="I12" s="108"/>
      <c r="J12" s="108"/>
      <c r="K12" s="232"/>
      <c r="L12" s="232"/>
      <c r="M12" s="232"/>
      <c r="N12" s="108"/>
      <c r="O12" s="108"/>
    </row>
    <row r="13" spans="1:15" ht="12.75" customHeight="1" x14ac:dyDescent="0.2">
      <c r="A13" s="307" t="s">
        <v>229</v>
      </c>
      <c r="B13" s="256"/>
      <c r="C13" s="110"/>
      <c r="D13" s="111"/>
      <c r="E13" s="111"/>
      <c r="F13" s="111"/>
      <c r="G13" s="110"/>
      <c r="H13" s="110"/>
      <c r="I13" s="110"/>
      <c r="J13" s="220"/>
      <c r="K13" s="110"/>
      <c r="L13" s="112"/>
      <c r="M13" s="112"/>
      <c r="N13" s="112"/>
      <c r="O13" s="113"/>
    </row>
    <row r="14" spans="1:15" x14ac:dyDescent="0.2">
      <c r="A14" s="308"/>
      <c r="B14" s="257"/>
      <c r="C14" s="114"/>
      <c r="D14" s="114"/>
      <c r="E14" s="114"/>
      <c r="F14" s="114"/>
      <c r="G14" s="114"/>
      <c r="H14" s="114"/>
      <c r="I14" s="114"/>
      <c r="J14" s="219"/>
      <c r="K14" s="114"/>
      <c r="L14" s="208"/>
      <c r="M14" s="115"/>
      <c r="N14" s="115"/>
      <c r="O14" s="116"/>
    </row>
    <row r="15" spans="1:15" x14ac:dyDescent="0.2">
      <c r="A15" s="308"/>
      <c r="B15" s="257"/>
      <c r="C15" s="114"/>
      <c r="D15" s="114"/>
      <c r="E15" s="114"/>
      <c r="F15" s="114"/>
      <c r="G15" s="114"/>
      <c r="H15" s="114"/>
      <c r="I15" s="114"/>
      <c r="J15" s="219"/>
      <c r="K15" s="114"/>
      <c r="L15" s="115"/>
      <c r="M15" s="115"/>
      <c r="N15" s="115"/>
      <c r="O15" s="116"/>
    </row>
    <row r="16" spans="1:15" x14ac:dyDescent="0.2">
      <c r="A16" s="308"/>
      <c r="B16" s="257"/>
      <c r="C16" s="114"/>
      <c r="D16" s="114"/>
      <c r="E16" s="114"/>
      <c r="F16" s="114"/>
      <c r="G16" s="114"/>
      <c r="H16" s="114"/>
      <c r="I16" s="114"/>
      <c r="J16" s="219"/>
      <c r="K16" s="114"/>
      <c r="L16" s="115"/>
      <c r="M16" s="115"/>
      <c r="N16" s="115"/>
      <c r="O16" s="116"/>
    </row>
    <row r="17" spans="1:16" ht="15" customHeight="1" x14ac:dyDescent="0.2">
      <c r="A17" s="308"/>
      <c r="B17" s="257"/>
      <c r="C17" s="114"/>
      <c r="D17" s="114"/>
      <c r="E17" s="114"/>
      <c r="F17" s="114"/>
      <c r="G17" s="114"/>
      <c r="H17" s="114"/>
      <c r="I17" s="114"/>
      <c r="J17" s="219"/>
      <c r="K17" s="114"/>
      <c r="L17" s="115"/>
      <c r="M17" s="115"/>
      <c r="N17" s="115"/>
      <c r="O17" s="116"/>
    </row>
    <row r="18" spans="1:16" ht="18" x14ac:dyDescent="0.25">
      <c r="A18" s="308"/>
      <c r="B18" s="257"/>
      <c r="C18" s="114"/>
      <c r="E18" s="230" t="s">
        <v>281</v>
      </c>
      <c r="F18" s="230"/>
      <c r="G18" s="231"/>
      <c r="H18" s="246"/>
      <c r="I18" s="114"/>
      <c r="J18" s="219"/>
      <c r="K18" s="230" t="s">
        <v>281</v>
      </c>
      <c r="L18" s="230"/>
      <c r="M18" s="230"/>
      <c r="N18" s="231"/>
      <c r="O18" s="250"/>
      <c r="P18" s="114"/>
    </row>
    <row r="19" spans="1:16" x14ac:dyDescent="0.2">
      <c r="A19" s="308"/>
      <c r="B19" s="257"/>
      <c r="C19" s="114"/>
      <c r="D19" s="236"/>
      <c r="E19" s="236"/>
      <c r="F19" s="236" t="s">
        <v>283</v>
      </c>
      <c r="G19" s="236"/>
      <c r="H19" s="236"/>
      <c r="I19" s="114"/>
      <c r="J19" s="219"/>
      <c r="K19" s="236"/>
      <c r="L19" s="236" t="s">
        <v>284</v>
      </c>
      <c r="M19" s="236"/>
      <c r="N19" s="236"/>
      <c r="O19" s="251"/>
      <c r="P19" s="114"/>
    </row>
    <row r="20" spans="1:16" ht="18" x14ac:dyDescent="0.25">
      <c r="A20" s="308"/>
      <c r="B20" s="257"/>
      <c r="C20" s="114"/>
      <c r="D20" s="230"/>
      <c r="E20" s="230"/>
      <c r="F20" s="230"/>
      <c r="G20" s="230"/>
      <c r="H20" s="230"/>
      <c r="I20" s="114"/>
      <c r="J20" s="219"/>
      <c r="K20" s="230"/>
      <c r="L20" s="230"/>
      <c r="M20" s="230"/>
      <c r="N20" s="230"/>
      <c r="O20" s="252"/>
      <c r="P20" s="114"/>
    </row>
    <row r="21" spans="1:16" x14ac:dyDescent="0.2">
      <c r="A21" s="308"/>
      <c r="B21" s="257"/>
      <c r="C21" s="114"/>
      <c r="D21" s="114"/>
      <c r="E21" s="114"/>
      <c r="F21" s="114"/>
      <c r="G21" s="114"/>
      <c r="H21" s="114"/>
      <c r="I21" s="114"/>
      <c r="J21" s="219"/>
      <c r="K21" s="114"/>
      <c r="L21" s="115"/>
      <c r="M21" s="115"/>
      <c r="N21" s="115"/>
      <c r="O21" s="116"/>
    </row>
    <row r="22" spans="1:16" x14ac:dyDescent="0.2">
      <c r="A22" s="308"/>
      <c r="B22" s="257"/>
      <c r="C22" s="114"/>
      <c r="D22" s="114"/>
      <c r="E22" s="114"/>
      <c r="F22" s="114"/>
      <c r="G22" s="114"/>
      <c r="H22" s="114"/>
      <c r="I22" s="114"/>
      <c r="J22" s="219"/>
      <c r="K22" s="114"/>
      <c r="L22" s="115"/>
      <c r="M22" s="115"/>
      <c r="N22" s="115"/>
      <c r="O22" s="116"/>
    </row>
    <row r="23" spans="1:16" ht="18.75" thickBot="1" x14ac:dyDescent="0.3">
      <c r="A23" s="309"/>
      <c r="B23" s="257"/>
      <c r="C23" s="114"/>
      <c r="D23" s="114"/>
      <c r="E23" s="114"/>
      <c r="F23" s="114"/>
      <c r="G23" s="114"/>
      <c r="H23" s="114"/>
      <c r="I23" s="114"/>
      <c r="J23" s="219"/>
      <c r="K23" s="229"/>
      <c r="L23" s="230"/>
      <c r="M23" s="115"/>
      <c r="N23" s="115"/>
      <c r="O23" s="116"/>
    </row>
    <row r="24" spans="1:16" ht="15" customHeight="1" x14ac:dyDescent="0.25">
      <c r="A24" s="303" t="s">
        <v>140</v>
      </c>
      <c r="B24" s="257"/>
      <c r="C24" s="114"/>
      <c r="D24" s="114"/>
      <c r="E24" s="114"/>
      <c r="F24" s="114"/>
      <c r="G24" s="114"/>
      <c r="H24" s="114"/>
      <c r="I24" s="114"/>
      <c r="J24" s="219"/>
      <c r="K24" s="229"/>
      <c r="L24" s="230"/>
      <c r="M24" s="115"/>
      <c r="N24" s="115"/>
      <c r="O24" s="116"/>
    </row>
    <row r="25" spans="1:16" ht="13.5" customHeight="1" x14ac:dyDescent="0.2">
      <c r="A25" s="304"/>
      <c r="B25" s="258"/>
      <c r="C25" s="114"/>
      <c r="D25" s="114"/>
      <c r="E25" s="114"/>
      <c r="F25" s="114"/>
      <c r="G25" s="114"/>
      <c r="H25" s="114"/>
      <c r="I25" s="114"/>
      <c r="J25" s="219"/>
      <c r="K25" s="114"/>
      <c r="L25" s="115"/>
      <c r="M25" s="115"/>
      <c r="N25" s="115"/>
      <c r="O25" s="116"/>
    </row>
    <row r="26" spans="1:16" x14ac:dyDescent="0.2">
      <c r="A26" s="305"/>
      <c r="B26" s="253"/>
      <c r="C26" s="114"/>
      <c r="D26" s="114"/>
      <c r="E26" s="114"/>
      <c r="F26" s="114"/>
      <c r="G26" s="114"/>
      <c r="H26" s="114"/>
      <c r="I26" s="114"/>
      <c r="J26" s="219"/>
      <c r="K26" s="114"/>
      <c r="L26" s="115"/>
      <c r="M26" s="115"/>
      <c r="N26" s="115"/>
      <c r="O26" s="116"/>
    </row>
    <row r="27" spans="1:16" x14ac:dyDescent="0.2">
      <c r="A27" s="305"/>
      <c r="B27" s="253"/>
      <c r="C27" s="114"/>
      <c r="D27" s="114"/>
      <c r="E27" s="114"/>
      <c r="F27" s="114"/>
      <c r="G27" s="114"/>
      <c r="H27" s="114"/>
      <c r="I27" s="114"/>
      <c r="J27" s="219"/>
      <c r="K27" s="114"/>
      <c r="L27" s="115"/>
      <c r="M27" s="115"/>
      <c r="N27" s="115"/>
      <c r="O27" s="116"/>
    </row>
    <row r="28" spans="1:16" x14ac:dyDescent="0.2">
      <c r="A28" s="305"/>
      <c r="B28" s="253"/>
      <c r="C28" s="114"/>
      <c r="D28" s="114"/>
      <c r="E28" s="114"/>
      <c r="F28" s="114"/>
      <c r="G28" s="114"/>
      <c r="H28" s="114"/>
      <c r="I28" s="114"/>
      <c r="J28" s="219"/>
      <c r="K28" s="114"/>
      <c r="L28" s="115"/>
      <c r="M28" s="115"/>
      <c r="N28" s="115"/>
      <c r="O28" s="116"/>
    </row>
    <row r="29" spans="1:16" ht="18" x14ac:dyDescent="0.25">
      <c r="A29" s="305"/>
      <c r="B29" s="253"/>
      <c r="C29" s="234"/>
      <c r="D29" s="114"/>
      <c r="E29" s="114"/>
      <c r="F29" s="114"/>
      <c r="G29" s="114"/>
      <c r="H29" s="114"/>
      <c r="I29" s="114"/>
      <c r="J29" s="219"/>
      <c r="K29" s="234"/>
      <c r="L29" s="230"/>
      <c r="M29" s="230"/>
      <c r="N29" s="230"/>
      <c r="O29" s="116"/>
    </row>
    <row r="30" spans="1:16" x14ac:dyDescent="0.2">
      <c r="A30" s="305"/>
      <c r="B30" s="254"/>
      <c r="C30" s="236"/>
      <c r="D30" s="114"/>
      <c r="E30" s="114"/>
      <c r="F30" s="114"/>
      <c r="G30" s="114"/>
      <c r="H30" s="114"/>
      <c r="I30" s="237"/>
      <c r="J30" s="219"/>
      <c r="K30" s="235"/>
      <c r="L30" s="115"/>
      <c r="M30" s="115"/>
      <c r="N30" s="115"/>
      <c r="O30" s="116"/>
    </row>
    <row r="31" spans="1:16" x14ac:dyDescent="0.2">
      <c r="A31" s="305"/>
      <c r="B31" s="254"/>
      <c r="C31" s="248"/>
      <c r="D31" s="114"/>
      <c r="E31" s="114"/>
      <c r="F31" s="114"/>
      <c r="G31" s="114"/>
      <c r="H31" s="114"/>
      <c r="I31" s="237"/>
      <c r="J31" s="219"/>
      <c r="K31" s="235"/>
      <c r="L31" s="115"/>
      <c r="M31" s="115"/>
      <c r="N31" s="115"/>
      <c r="O31" s="116"/>
    </row>
    <row r="32" spans="1:16" x14ac:dyDescent="0.2">
      <c r="A32" s="305"/>
      <c r="B32" s="254"/>
      <c r="C32" s="236"/>
      <c r="D32" s="236"/>
      <c r="E32" s="236"/>
      <c r="F32" s="236"/>
      <c r="G32" s="236"/>
      <c r="H32" s="236"/>
      <c r="I32" s="237"/>
      <c r="J32" s="219"/>
      <c r="K32" s="235"/>
      <c r="L32" s="115"/>
      <c r="M32" s="115"/>
      <c r="N32" s="115"/>
      <c r="O32" s="116"/>
    </row>
    <row r="33" spans="1:15" ht="15" x14ac:dyDescent="0.2">
      <c r="A33" s="305"/>
      <c r="B33" s="254"/>
      <c r="C33" s="247"/>
      <c r="D33" s="236"/>
      <c r="E33" s="236"/>
      <c r="F33" s="236"/>
      <c r="G33" s="236"/>
      <c r="H33" s="236"/>
      <c r="I33" s="237"/>
      <c r="J33" s="219"/>
      <c r="K33" s="235"/>
      <c r="L33" s="115"/>
      <c r="M33" s="115"/>
      <c r="N33" s="115"/>
      <c r="O33" s="116"/>
    </row>
    <row r="34" spans="1:15" x14ac:dyDescent="0.2">
      <c r="A34" s="305"/>
      <c r="B34" s="254"/>
      <c r="C34" s="236"/>
      <c r="D34" s="236"/>
      <c r="E34" s="236"/>
      <c r="F34" s="236"/>
      <c r="G34" s="236"/>
      <c r="H34" s="236"/>
      <c r="I34" s="237"/>
      <c r="J34" s="238"/>
      <c r="K34" s="235"/>
      <c r="L34" s="115"/>
      <c r="M34" s="115"/>
      <c r="N34" s="115"/>
      <c r="O34" s="116"/>
    </row>
    <row r="35" spans="1:15" ht="13.5" thickBot="1" x14ac:dyDescent="0.25">
      <c r="A35" s="305"/>
      <c r="B35" s="239"/>
      <c r="C35" s="240"/>
      <c r="D35" s="240"/>
      <c r="E35" s="240"/>
      <c r="F35" s="240"/>
      <c r="G35" s="240"/>
      <c r="H35" s="240"/>
      <c r="I35" s="241"/>
      <c r="J35" s="242"/>
      <c r="K35" s="243"/>
      <c r="L35" s="244"/>
      <c r="M35" s="244"/>
      <c r="N35" s="244"/>
      <c r="O35" s="245"/>
    </row>
    <row r="36" spans="1:15" ht="12.75" customHeight="1" x14ac:dyDescent="0.2">
      <c r="A36" s="305"/>
      <c r="B36" s="328" t="s">
        <v>230</v>
      </c>
      <c r="C36" s="329"/>
      <c r="D36" s="329"/>
      <c r="E36" s="329"/>
      <c r="F36" s="329"/>
      <c r="G36" s="329"/>
      <c r="H36" s="329" t="s">
        <v>275</v>
      </c>
      <c r="I36" s="329"/>
      <c r="J36" s="329"/>
      <c r="K36" s="329" t="s">
        <v>231</v>
      </c>
      <c r="L36" s="329"/>
      <c r="M36" s="329"/>
      <c r="N36" s="329"/>
      <c r="O36" s="329"/>
    </row>
    <row r="37" spans="1:15" ht="13.5" customHeight="1" thickBot="1" x14ac:dyDescent="0.25">
      <c r="A37" s="306"/>
      <c r="B37" s="330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</row>
    <row r="38" spans="1:15" x14ac:dyDescent="0.2">
      <c r="B38" s="117"/>
    </row>
    <row r="39" spans="1:15" x14ac:dyDescent="0.2">
      <c r="A39" s="218"/>
      <c r="B39" s="218"/>
      <c r="C39" s="224" t="s">
        <v>232</v>
      </c>
      <c r="D39" s="301">
        <f>I6</f>
        <v>1097.8</v>
      </c>
      <c r="E39" s="302"/>
      <c r="F39" s="228"/>
      <c r="G39" s="228"/>
      <c r="H39" s="218"/>
      <c r="I39" s="218"/>
      <c r="J39" s="218"/>
      <c r="K39" s="224" t="s">
        <v>233</v>
      </c>
      <c r="L39" s="319">
        <f>I5</f>
        <v>850</v>
      </c>
      <c r="M39" s="320"/>
      <c r="N39" s="203"/>
    </row>
    <row r="40" spans="1:15" x14ac:dyDescent="0.2">
      <c r="A40" s="218"/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</row>
    <row r="41" spans="1:15" ht="12.75" customHeight="1" x14ac:dyDescent="0.2">
      <c r="A41" s="218"/>
      <c r="B41" s="332" t="s">
        <v>64</v>
      </c>
      <c r="C41" s="332"/>
      <c r="D41" s="318" t="str">
        <f>'DATA IN PUT'!B8</f>
        <v>R.LAGOSHNIAK</v>
      </c>
      <c r="E41" s="318"/>
      <c r="F41" s="318"/>
      <c r="G41" s="218"/>
      <c r="H41" s="218"/>
      <c r="I41" s="332" t="s">
        <v>268</v>
      </c>
      <c r="J41" s="332"/>
      <c r="K41" s="318" t="str">
        <f>'DATA IN PUT'!B7</f>
        <v>CAPT.P.SLIZHEVS'KYI</v>
      </c>
      <c r="L41" s="318"/>
      <c r="M41" s="318"/>
      <c r="N41" s="318"/>
    </row>
    <row r="42" spans="1:15" ht="12.75" customHeight="1" x14ac:dyDescent="0.2">
      <c r="B42" s="204"/>
      <c r="C42" s="204"/>
      <c r="D42" s="204"/>
      <c r="E42" s="204"/>
      <c r="F42" s="204"/>
      <c r="I42" s="204"/>
      <c r="J42" s="204"/>
      <c r="K42" s="204"/>
      <c r="L42" s="204"/>
      <c r="M42" s="204"/>
      <c r="N42" s="204"/>
    </row>
  </sheetData>
  <mergeCells count="25">
    <mergeCell ref="K41:N41"/>
    <mergeCell ref="L39:M39"/>
    <mergeCell ref="C1:L3"/>
    <mergeCell ref="D5:E5"/>
    <mergeCell ref="D6:E6"/>
    <mergeCell ref="E7:F7"/>
    <mergeCell ref="C7:D7"/>
    <mergeCell ref="B36:D37"/>
    <mergeCell ref="K36:O37"/>
    <mergeCell ref="E8:F8"/>
    <mergeCell ref="H36:J37"/>
    <mergeCell ref="C8:D8"/>
    <mergeCell ref="I41:J41"/>
    <mergeCell ref="B41:C41"/>
    <mergeCell ref="D41:F41"/>
    <mergeCell ref="E36:G37"/>
    <mergeCell ref="D39:E39"/>
    <mergeCell ref="A24:A37"/>
    <mergeCell ref="A13:A23"/>
    <mergeCell ref="B11:C11"/>
    <mergeCell ref="A6:A12"/>
    <mergeCell ref="B10:O10"/>
    <mergeCell ref="C9:O9"/>
    <mergeCell ref="E11:F11"/>
    <mergeCell ref="I11:J11"/>
  </mergeCells>
  <phoneticPr fontId="3" type="noConversion"/>
  <printOptions horizontalCentered="1" verticalCentered="1"/>
  <pageMargins left="0" right="0" top="0.19685039370078741" bottom="0.19685039370078741" header="0" footer="0"/>
  <pageSetup paperSize="9" orientation="landscape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H38"/>
  <sheetViews>
    <sheetView workbookViewId="0">
      <pane ySplit="1" topLeftCell="A2" activePane="bottomLeft" state="frozen"/>
      <selection pane="bottomLeft" activeCell="E29" sqref="E29"/>
    </sheetView>
  </sheetViews>
  <sheetFormatPr defaultRowHeight="12.75" x14ac:dyDescent="0.2"/>
  <cols>
    <col min="1" max="1" width="9.140625" style="2"/>
    <col min="2" max="2" width="9.140625" style="3"/>
    <col min="3" max="3" width="9.140625" style="4"/>
    <col min="4" max="16384" width="9.140625" style="3"/>
  </cols>
  <sheetData>
    <row r="1" spans="1:8" x14ac:dyDescent="0.2">
      <c r="A1" s="5" t="s">
        <v>66</v>
      </c>
      <c r="B1" s="6" t="s">
        <v>67</v>
      </c>
      <c r="C1" s="7" t="s">
        <v>68</v>
      </c>
      <c r="D1" s="6" t="s">
        <v>69</v>
      </c>
      <c r="E1" s="6" t="s">
        <v>70</v>
      </c>
      <c r="F1" s="6" t="s">
        <v>71</v>
      </c>
      <c r="G1" s="6" t="s">
        <v>72</v>
      </c>
      <c r="H1" s="6" t="s">
        <v>73</v>
      </c>
    </row>
    <row r="2" spans="1:8" x14ac:dyDescent="0.2">
      <c r="A2" s="197">
        <v>1.4</v>
      </c>
      <c r="B2" s="198">
        <v>1158</v>
      </c>
      <c r="C2" s="199">
        <v>10.47</v>
      </c>
      <c r="D2" s="198">
        <v>4099</v>
      </c>
      <c r="E2" s="198">
        <v>44.19</v>
      </c>
      <c r="F2" s="198">
        <v>9.07</v>
      </c>
      <c r="G2" s="198">
        <v>0.14599999999999999</v>
      </c>
      <c r="H2" s="198">
        <v>0.13600000000000001</v>
      </c>
    </row>
    <row r="3" spans="1:8" x14ac:dyDescent="0.2">
      <c r="A3" s="197">
        <f>A2+0.1</f>
        <v>1.5</v>
      </c>
      <c r="B3" s="198">
        <v>1249</v>
      </c>
      <c r="C3" s="199">
        <v>10.16</v>
      </c>
      <c r="D3" s="198">
        <v>4159</v>
      </c>
      <c r="E3" s="198">
        <v>44.18</v>
      </c>
      <c r="F3" s="198">
        <v>9.1199999999999992</v>
      </c>
      <c r="G3" s="198">
        <v>0.155</v>
      </c>
      <c r="H3" s="198">
        <v>0.14499999999999999</v>
      </c>
    </row>
    <row r="4" spans="1:8" x14ac:dyDescent="0.2">
      <c r="A4" s="197">
        <f t="shared" ref="A4:A38" si="0">A3+0.1</f>
        <v>1.6</v>
      </c>
      <c r="B4" s="198">
        <v>1340</v>
      </c>
      <c r="C4" s="199">
        <v>9.66</v>
      </c>
      <c r="D4" s="198">
        <v>4218</v>
      </c>
      <c r="E4" s="198">
        <v>44.17</v>
      </c>
      <c r="F4" s="198">
        <v>9.18</v>
      </c>
      <c r="G4" s="198">
        <v>0.16400000000000001</v>
      </c>
      <c r="H4" s="198">
        <v>0.154</v>
      </c>
    </row>
    <row r="5" spans="1:8" x14ac:dyDescent="0.2">
      <c r="A5" s="197">
        <f t="shared" si="0"/>
        <v>1.7000000000000002</v>
      </c>
      <c r="B5" s="198">
        <v>1432</v>
      </c>
      <c r="C5" s="199">
        <v>9.2200000000000006</v>
      </c>
      <c r="D5" s="198">
        <v>4277</v>
      </c>
      <c r="E5" s="198">
        <v>44.15</v>
      </c>
      <c r="F5" s="198">
        <v>9.23</v>
      </c>
      <c r="G5" s="198">
        <v>0.17299999999999999</v>
      </c>
      <c r="H5" s="198">
        <v>0.16200000000000001</v>
      </c>
    </row>
    <row r="6" spans="1:8" x14ac:dyDescent="0.2">
      <c r="A6" s="197">
        <f t="shared" si="0"/>
        <v>1.8000000000000003</v>
      </c>
      <c r="B6" s="198">
        <v>1525</v>
      </c>
      <c r="C6" s="199">
        <v>8.84</v>
      </c>
      <c r="D6" s="198">
        <v>4336</v>
      </c>
      <c r="E6" s="198">
        <v>44.14</v>
      </c>
      <c r="F6" s="198">
        <v>9.2799999999999994</v>
      </c>
      <c r="G6" s="198">
        <v>0.18099999999999999</v>
      </c>
      <c r="H6" s="198">
        <v>0.17</v>
      </c>
    </row>
    <row r="7" spans="1:8" x14ac:dyDescent="0.2">
      <c r="A7" s="197">
        <f t="shared" si="0"/>
        <v>1.9000000000000004</v>
      </c>
      <c r="B7" s="198">
        <v>1618</v>
      </c>
      <c r="C7" s="199">
        <v>8.5</v>
      </c>
      <c r="D7" s="198">
        <v>4396</v>
      </c>
      <c r="E7" s="198">
        <v>44.12</v>
      </c>
      <c r="F7" s="198">
        <v>9.33</v>
      </c>
      <c r="G7" s="198">
        <v>0.189</v>
      </c>
      <c r="H7" s="198">
        <v>0.17899999999999999</v>
      </c>
    </row>
    <row r="8" spans="1:8" x14ac:dyDescent="0.2">
      <c r="A8" s="197">
        <f t="shared" si="0"/>
        <v>2.0000000000000004</v>
      </c>
      <c r="B8" s="198">
        <v>1711</v>
      </c>
      <c r="C8" s="199">
        <v>8.2100000000000009</v>
      </c>
      <c r="D8" s="198">
        <v>4457</v>
      </c>
      <c r="E8" s="198">
        <v>44.11</v>
      </c>
      <c r="F8" s="198">
        <v>9.3800000000000008</v>
      </c>
      <c r="G8" s="198">
        <v>0.19700000000000001</v>
      </c>
      <c r="H8" s="198">
        <v>0.187</v>
      </c>
    </row>
    <row r="9" spans="1:8" x14ac:dyDescent="0.2">
      <c r="A9" s="197">
        <f t="shared" si="0"/>
        <v>2.1000000000000005</v>
      </c>
      <c r="B9" s="198">
        <v>1805</v>
      </c>
      <c r="C9" s="199">
        <v>7.94</v>
      </c>
      <c r="D9" s="198">
        <v>4518</v>
      </c>
      <c r="E9" s="198">
        <v>44.09</v>
      </c>
      <c r="F9" s="198">
        <v>9.43</v>
      </c>
      <c r="G9" s="198">
        <v>0.20499999999999999</v>
      </c>
      <c r="H9" s="198">
        <v>0.19600000000000001</v>
      </c>
    </row>
    <row r="10" spans="1:8" x14ac:dyDescent="0.2">
      <c r="A10" s="197">
        <f t="shared" si="0"/>
        <v>2.2000000000000006</v>
      </c>
      <c r="B10" s="198">
        <v>1900</v>
      </c>
      <c r="C10" s="199">
        <v>7.71</v>
      </c>
      <c r="D10" s="198">
        <v>4581</v>
      </c>
      <c r="E10" s="198">
        <v>44.07</v>
      </c>
      <c r="F10" s="198">
        <v>9.48</v>
      </c>
      <c r="G10" s="198">
        <v>0.21299999999999999</v>
      </c>
      <c r="H10" s="198">
        <v>0.20200000000000001</v>
      </c>
    </row>
    <row r="11" spans="1:8" x14ac:dyDescent="0.2">
      <c r="A11" s="197">
        <f t="shared" si="0"/>
        <v>2.3000000000000007</v>
      </c>
      <c r="B11" s="198">
        <v>1995</v>
      </c>
      <c r="C11" s="199">
        <v>7.5</v>
      </c>
      <c r="D11" s="198">
        <v>4646</v>
      </c>
      <c r="E11" s="198">
        <v>44.05</v>
      </c>
      <c r="F11" s="198">
        <v>9.5399999999999991</v>
      </c>
      <c r="G11" s="198">
        <v>0.22</v>
      </c>
      <c r="H11" s="198">
        <v>0.21</v>
      </c>
    </row>
    <row r="12" spans="1:8" x14ac:dyDescent="0.2">
      <c r="A12" s="197">
        <f t="shared" si="0"/>
        <v>2.4000000000000008</v>
      </c>
      <c r="B12" s="198">
        <v>2091</v>
      </c>
      <c r="C12" s="199">
        <v>7.31</v>
      </c>
      <c r="D12" s="198">
        <v>4712</v>
      </c>
      <c r="E12" s="198">
        <v>44.03</v>
      </c>
      <c r="F12" s="198">
        <v>9.59</v>
      </c>
      <c r="G12" s="198">
        <v>0.22700000000000001</v>
      </c>
      <c r="H12" s="198">
        <v>0.217</v>
      </c>
    </row>
    <row r="13" spans="1:8" x14ac:dyDescent="0.2">
      <c r="A13" s="197">
        <f t="shared" si="0"/>
        <v>2.5000000000000009</v>
      </c>
      <c r="B13" s="198">
        <v>2187</v>
      </c>
      <c r="C13" s="199">
        <v>7.15</v>
      </c>
      <c r="D13" s="198">
        <v>4780</v>
      </c>
      <c r="E13" s="198">
        <v>44</v>
      </c>
      <c r="F13" s="198">
        <v>9.64</v>
      </c>
      <c r="G13" s="198">
        <v>0.23300000000000001</v>
      </c>
      <c r="H13" s="198">
        <v>0.224</v>
      </c>
    </row>
    <row r="14" spans="1:8" x14ac:dyDescent="0.2">
      <c r="A14" s="197">
        <f t="shared" si="0"/>
        <v>2.600000000000001</v>
      </c>
      <c r="B14" s="198">
        <v>2283</v>
      </c>
      <c r="C14" s="199">
        <v>7</v>
      </c>
      <c r="D14" s="198">
        <v>4850</v>
      </c>
      <c r="E14" s="198">
        <v>43.97</v>
      </c>
      <c r="F14" s="198">
        <v>9.69</v>
      </c>
      <c r="G14" s="198">
        <v>0.24</v>
      </c>
      <c r="H14" s="198">
        <v>0.23100000000000001</v>
      </c>
    </row>
    <row r="15" spans="1:8" x14ac:dyDescent="0.2">
      <c r="A15" s="197">
        <f t="shared" si="0"/>
        <v>2.7000000000000011</v>
      </c>
      <c r="B15" s="198">
        <v>2381</v>
      </c>
      <c r="C15" s="199">
        <v>6.8</v>
      </c>
      <c r="D15" s="198">
        <v>4922</v>
      </c>
      <c r="E15" s="198">
        <v>43.95</v>
      </c>
      <c r="F15" s="198">
        <v>9.75</v>
      </c>
      <c r="G15" s="198">
        <v>0.246</v>
      </c>
      <c r="H15" s="198">
        <v>0.23799999999999999</v>
      </c>
    </row>
    <row r="16" spans="1:8" x14ac:dyDescent="0.2">
      <c r="A16" s="197">
        <f t="shared" si="0"/>
        <v>2.8000000000000012</v>
      </c>
      <c r="B16" s="198">
        <v>2478</v>
      </c>
      <c r="C16" s="199">
        <v>6.75</v>
      </c>
      <c r="D16" s="198">
        <v>4996</v>
      </c>
      <c r="E16" s="198">
        <v>43.92</v>
      </c>
      <c r="F16" s="198">
        <v>9.8000000000000007</v>
      </c>
      <c r="G16" s="198">
        <v>0.251</v>
      </c>
      <c r="H16" s="198">
        <v>0.245</v>
      </c>
    </row>
    <row r="17" spans="1:8" x14ac:dyDescent="0.2">
      <c r="A17" s="197">
        <f t="shared" si="0"/>
        <v>2.9000000000000012</v>
      </c>
      <c r="B17" s="198">
        <v>2577</v>
      </c>
      <c r="C17" s="199">
        <v>6.64</v>
      </c>
      <c r="D17" s="198">
        <v>5071</v>
      </c>
      <c r="E17" s="198">
        <v>43.89</v>
      </c>
      <c r="F17" s="198">
        <v>9.86</v>
      </c>
      <c r="G17" s="198">
        <v>0.25700000000000001</v>
      </c>
      <c r="H17" s="198">
        <v>0.251</v>
      </c>
    </row>
    <row r="18" spans="1:8" x14ac:dyDescent="0.2">
      <c r="A18" s="197">
        <f t="shared" si="0"/>
        <v>3.0000000000000013</v>
      </c>
      <c r="B18" s="198">
        <v>2675</v>
      </c>
      <c r="C18" s="199">
        <v>6.54</v>
      </c>
      <c r="D18" s="198">
        <v>5148</v>
      </c>
      <c r="E18" s="198">
        <v>43.86</v>
      </c>
      <c r="F18" s="198">
        <v>9.91</v>
      </c>
      <c r="G18" s="198">
        <v>0.26300000000000001</v>
      </c>
      <c r="H18" s="198">
        <v>0.25700000000000001</v>
      </c>
    </row>
    <row r="19" spans="1:8" x14ac:dyDescent="0.2">
      <c r="A19" s="197">
        <f t="shared" si="0"/>
        <v>3.1000000000000014</v>
      </c>
      <c r="B19" s="198">
        <v>2775</v>
      </c>
      <c r="C19" s="199">
        <v>6.45</v>
      </c>
      <c r="D19" s="198">
        <v>5227</v>
      </c>
      <c r="E19" s="198">
        <v>43.83</v>
      </c>
      <c r="F19" s="198">
        <v>9.9700000000000006</v>
      </c>
      <c r="G19" s="198">
        <v>0.26700000000000002</v>
      </c>
      <c r="H19" s="198">
        <v>0.26300000000000001</v>
      </c>
    </row>
    <row r="20" spans="1:8" x14ac:dyDescent="0.2">
      <c r="A20" s="197">
        <f t="shared" si="0"/>
        <v>3.2000000000000015</v>
      </c>
      <c r="B20" s="198">
        <v>2875</v>
      </c>
      <c r="C20" s="199">
        <v>6.37</v>
      </c>
      <c r="D20" s="198">
        <v>5307</v>
      </c>
      <c r="E20" s="198">
        <v>43.79</v>
      </c>
      <c r="F20" s="198">
        <v>10.02</v>
      </c>
      <c r="G20" s="198">
        <v>0.27200000000000002</v>
      </c>
      <c r="H20" s="198">
        <v>0.26900000000000002</v>
      </c>
    </row>
    <row r="21" spans="1:8" x14ac:dyDescent="0.2">
      <c r="A21" s="197">
        <f t="shared" si="0"/>
        <v>3.3000000000000016</v>
      </c>
      <c r="B21" s="198">
        <v>2975</v>
      </c>
      <c r="C21" s="199">
        <v>6.3</v>
      </c>
      <c r="D21" s="198">
        <v>5389</v>
      </c>
      <c r="E21" s="198">
        <v>43.76</v>
      </c>
      <c r="F21" s="198">
        <v>10.08</v>
      </c>
      <c r="G21" s="198">
        <v>0.27700000000000002</v>
      </c>
      <c r="H21" s="198">
        <v>0.27500000000000002</v>
      </c>
    </row>
    <row r="22" spans="1:8" x14ac:dyDescent="0.2">
      <c r="A22" s="197">
        <f t="shared" si="0"/>
        <v>3.4000000000000017</v>
      </c>
      <c r="B22" s="198">
        <v>3076</v>
      </c>
      <c r="C22" s="199">
        <v>6.24</v>
      </c>
      <c r="D22" s="198">
        <v>5472</v>
      </c>
      <c r="E22" s="198">
        <v>43.72</v>
      </c>
      <c r="F22" s="198">
        <v>10.130000000000001</v>
      </c>
      <c r="G22" s="198">
        <v>0.28100000000000003</v>
      </c>
      <c r="H22" s="198">
        <v>0.28100000000000003</v>
      </c>
    </row>
    <row r="23" spans="1:8" x14ac:dyDescent="0.2">
      <c r="A23" s="197">
        <f t="shared" si="0"/>
        <v>3.5000000000000018</v>
      </c>
      <c r="B23" s="198">
        <v>3178</v>
      </c>
      <c r="C23" s="199">
        <v>6.18</v>
      </c>
      <c r="D23" s="198">
        <v>5556</v>
      </c>
      <c r="E23" s="198">
        <v>43.69</v>
      </c>
      <c r="F23" s="198">
        <v>10.19</v>
      </c>
      <c r="G23" s="198">
        <v>0.28499999999999998</v>
      </c>
      <c r="H23" s="198">
        <v>0.28699999999999998</v>
      </c>
    </row>
    <row r="24" spans="1:8" x14ac:dyDescent="0.2">
      <c r="A24" s="197">
        <f t="shared" si="0"/>
        <v>3.6000000000000019</v>
      </c>
      <c r="B24" s="198">
        <v>3280</v>
      </c>
      <c r="C24" s="199">
        <v>6.13</v>
      </c>
      <c r="D24" s="198">
        <v>5642</v>
      </c>
      <c r="E24" s="198">
        <v>43.65</v>
      </c>
      <c r="F24" s="198">
        <v>10.24</v>
      </c>
      <c r="G24" s="198">
        <v>0.28899999999999998</v>
      </c>
      <c r="H24" s="198">
        <v>0.29199999999999998</v>
      </c>
    </row>
    <row r="25" spans="1:8" x14ac:dyDescent="0.2">
      <c r="A25" s="197">
        <f t="shared" si="0"/>
        <v>3.700000000000002</v>
      </c>
      <c r="B25" s="198">
        <v>3383</v>
      </c>
      <c r="C25" s="199">
        <v>6.09</v>
      </c>
      <c r="D25" s="198">
        <v>5731</v>
      </c>
      <c r="E25" s="198">
        <v>43.61</v>
      </c>
      <c r="F25" s="198">
        <v>10.3</v>
      </c>
      <c r="G25" s="198">
        <v>0.29299999999999998</v>
      </c>
      <c r="H25" s="198">
        <v>0.29699999999999999</v>
      </c>
    </row>
    <row r="26" spans="1:8" x14ac:dyDescent="0.2">
      <c r="A26" s="197">
        <f t="shared" si="0"/>
        <v>3.800000000000002</v>
      </c>
      <c r="B26" s="198">
        <v>3488</v>
      </c>
      <c r="C26" s="199">
        <v>6.05</v>
      </c>
      <c r="D26" s="198">
        <v>5825</v>
      </c>
      <c r="E26" s="198">
        <v>43.57</v>
      </c>
      <c r="F26" s="198">
        <v>10.36</v>
      </c>
      <c r="G26" s="198">
        <v>0.29599999999999999</v>
      </c>
      <c r="H26" s="198">
        <v>0.30199999999999999</v>
      </c>
    </row>
    <row r="27" spans="1:8" x14ac:dyDescent="0.2">
      <c r="A27" s="197">
        <f t="shared" si="0"/>
        <v>3.9000000000000021</v>
      </c>
      <c r="B27" s="198">
        <v>3590</v>
      </c>
      <c r="C27" s="199">
        <v>6.02</v>
      </c>
      <c r="D27" s="198">
        <v>5924</v>
      </c>
      <c r="E27" s="198">
        <v>43.53</v>
      </c>
      <c r="F27" s="198">
        <v>10.42</v>
      </c>
      <c r="G27" s="198">
        <v>0.29899999999999999</v>
      </c>
      <c r="H27" s="198">
        <v>0.307</v>
      </c>
    </row>
    <row r="28" spans="1:8" x14ac:dyDescent="0.2">
      <c r="A28" s="197">
        <f t="shared" si="0"/>
        <v>4.0000000000000018</v>
      </c>
      <c r="B28" s="198">
        <v>3695</v>
      </c>
      <c r="C28" s="199">
        <v>5.99</v>
      </c>
      <c r="D28" s="198">
        <v>6030</v>
      </c>
      <c r="E28" s="198">
        <v>43.48</v>
      </c>
      <c r="F28" s="198">
        <v>10.49</v>
      </c>
      <c r="G28" s="198">
        <v>0.30199999999999999</v>
      </c>
      <c r="H28" s="198">
        <v>0.311</v>
      </c>
    </row>
    <row r="29" spans="1:8" x14ac:dyDescent="0.2">
      <c r="A29" s="197">
        <f t="shared" si="0"/>
        <v>4.1000000000000014</v>
      </c>
      <c r="B29" s="198">
        <v>3801</v>
      </c>
      <c r="C29" s="199">
        <v>5.97</v>
      </c>
      <c r="D29" s="198">
        <v>6141</v>
      </c>
      <c r="E29" s="198">
        <v>43.44</v>
      </c>
      <c r="F29" s="198">
        <v>10.56</v>
      </c>
      <c r="G29" s="198">
        <v>0.30399999999999999</v>
      </c>
      <c r="H29" s="198">
        <v>0.315</v>
      </c>
    </row>
    <row r="30" spans="1:8" x14ac:dyDescent="0.2">
      <c r="A30" s="197">
        <f t="shared" si="0"/>
        <v>4.2000000000000011</v>
      </c>
      <c r="B30" s="198">
        <v>3907</v>
      </c>
      <c r="C30" s="199">
        <v>5.95</v>
      </c>
      <c r="D30" s="198">
        <v>6252</v>
      </c>
      <c r="E30" s="198">
        <v>43.1</v>
      </c>
      <c r="F30" s="198">
        <v>10.63</v>
      </c>
      <c r="G30" s="198">
        <v>0.30599999999999999</v>
      </c>
      <c r="H30" s="198">
        <v>0.318</v>
      </c>
    </row>
    <row r="31" spans="1:8" x14ac:dyDescent="0.2">
      <c r="A31" s="197">
        <f t="shared" si="0"/>
        <v>4.3000000000000007</v>
      </c>
      <c r="B31" s="198">
        <v>4013</v>
      </c>
      <c r="C31" s="199">
        <v>5.93</v>
      </c>
      <c r="D31" s="198">
        <v>6358</v>
      </c>
      <c r="E31" s="198">
        <v>43.35</v>
      </c>
      <c r="F31" s="198">
        <v>10.69</v>
      </c>
      <c r="G31" s="198">
        <v>0.309</v>
      </c>
      <c r="H31" s="198">
        <v>0.32200000000000001</v>
      </c>
    </row>
    <row r="32" spans="1:8" x14ac:dyDescent="0.2">
      <c r="A32" s="197">
        <f t="shared" si="0"/>
        <v>4.4000000000000004</v>
      </c>
      <c r="B32" s="198">
        <v>4120</v>
      </c>
      <c r="C32" s="199">
        <v>5.91</v>
      </c>
      <c r="D32" s="198">
        <v>6454</v>
      </c>
      <c r="E32" s="198">
        <v>43.31</v>
      </c>
      <c r="F32" s="198">
        <v>10.74</v>
      </c>
      <c r="G32" s="198">
        <v>0.311</v>
      </c>
      <c r="H32" s="198">
        <v>0.32700000000000001</v>
      </c>
    </row>
    <row r="33" spans="1:8" x14ac:dyDescent="0.2">
      <c r="A33" s="197">
        <f t="shared" si="0"/>
        <v>4.5</v>
      </c>
      <c r="B33" s="198">
        <v>4227</v>
      </c>
      <c r="C33" s="199">
        <v>5.89</v>
      </c>
      <c r="D33" s="198">
        <v>6535</v>
      </c>
      <c r="E33" s="198">
        <v>43.25</v>
      </c>
      <c r="F33" s="198">
        <v>10.79</v>
      </c>
      <c r="G33" s="198">
        <v>0.314</v>
      </c>
      <c r="H33" s="198">
        <v>0.33300000000000002</v>
      </c>
    </row>
    <row r="34" spans="1:8" x14ac:dyDescent="0.2">
      <c r="A34" s="197">
        <f t="shared" si="0"/>
        <v>4.5999999999999996</v>
      </c>
      <c r="B34" s="198">
        <v>4334</v>
      </c>
      <c r="C34" s="199">
        <v>5.88</v>
      </c>
      <c r="D34" s="198">
        <v>6597</v>
      </c>
      <c r="E34" s="198">
        <v>43.19</v>
      </c>
      <c r="F34" s="198">
        <v>10.82</v>
      </c>
      <c r="G34" s="198">
        <v>0.317</v>
      </c>
      <c r="H34" s="198">
        <v>0.34</v>
      </c>
    </row>
    <row r="35" spans="1:8" x14ac:dyDescent="0.2">
      <c r="A35" s="197">
        <f t="shared" si="0"/>
        <v>4.6999999999999993</v>
      </c>
      <c r="B35" s="198">
        <v>4442</v>
      </c>
      <c r="C35" s="199">
        <v>5.86</v>
      </c>
      <c r="D35" s="198">
        <v>6648</v>
      </c>
      <c r="E35" s="198">
        <v>43.13</v>
      </c>
      <c r="F35" s="198">
        <v>10.84</v>
      </c>
      <c r="G35" s="198">
        <v>0.32100000000000001</v>
      </c>
      <c r="H35" s="198">
        <v>0.34699999999999998</v>
      </c>
    </row>
    <row r="36" spans="1:8" x14ac:dyDescent="0.2">
      <c r="A36" s="197">
        <f>A35+0.1</f>
        <v>4.7999999999999989</v>
      </c>
      <c r="B36" s="198">
        <v>4549</v>
      </c>
      <c r="C36" s="199">
        <v>5.85</v>
      </c>
      <c r="D36" s="198">
        <v>6692</v>
      </c>
      <c r="E36" s="198">
        <v>43.07</v>
      </c>
      <c r="F36" s="198">
        <v>10.86</v>
      </c>
      <c r="G36" s="198">
        <v>0.32500000000000001</v>
      </c>
      <c r="H36" s="198">
        <v>0.35499999999999998</v>
      </c>
    </row>
    <row r="37" spans="1:8" x14ac:dyDescent="0.2">
      <c r="A37" s="197">
        <f t="shared" si="0"/>
        <v>4.8999999999999986</v>
      </c>
      <c r="B37" s="198">
        <v>4657</v>
      </c>
      <c r="C37" s="199">
        <v>5.84</v>
      </c>
      <c r="D37" s="198">
        <v>6736</v>
      </c>
      <c r="E37" s="198">
        <v>43.01</v>
      </c>
      <c r="F37" s="198">
        <v>10.88</v>
      </c>
      <c r="G37" s="198">
        <v>0.32900000000000001</v>
      </c>
      <c r="H37" s="198">
        <v>0.36299999999999999</v>
      </c>
    </row>
    <row r="38" spans="1:8" x14ac:dyDescent="0.2">
      <c r="A38" s="197">
        <f t="shared" si="0"/>
        <v>4.9999999999999982</v>
      </c>
      <c r="B38" s="198">
        <v>4766</v>
      </c>
      <c r="C38" s="199">
        <v>5.83</v>
      </c>
      <c r="D38" s="198">
        <v>6785</v>
      </c>
      <c r="E38" s="198">
        <v>42.95</v>
      </c>
      <c r="F38" s="198">
        <v>10.91</v>
      </c>
      <c r="G38" s="198">
        <v>0.33200000000000002</v>
      </c>
      <c r="H38" s="198">
        <v>0.37</v>
      </c>
    </row>
  </sheetData>
  <sheetProtection password="CEC6" sheet="1" objects="1" scenarios="1"/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38"/>
  <sheetViews>
    <sheetView workbookViewId="0">
      <selection activeCell="A29" sqref="A29"/>
    </sheetView>
  </sheetViews>
  <sheetFormatPr defaultRowHeight="12.75" x14ac:dyDescent="0.2"/>
  <cols>
    <col min="1" max="1" width="9.140625" style="1"/>
  </cols>
  <sheetData>
    <row r="1" spans="1:11" x14ac:dyDescent="0.2">
      <c r="A1" s="2" t="s">
        <v>74</v>
      </c>
      <c r="B1" s="3" t="s">
        <v>75</v>
      </c>
      <c r="C1" s="3" t="s">
        <v>76</v>
      </c>
      <c r="D1" s="3" t="s">
        <v>77</v>
      </c>
      <c r="E1" s="3" t="s">
        <v>78</v>
      </c>
      <c r="F1" s="3" t="s">
        <v>79</v>
      </c>
      <c r="G1" s="3" t="s">
        <v>80</v>
      </c>
      <c r="H1" s="3" t="s">
        <v>81</v>
      </c>
      <c r="I1" s="3" t="s">
        <v>82</v>
      </c>
      <c r="J1" s="3" t="s">
        <v>83</v>
      </c>
      <c r="K1" s="3" t="s">
        <v>84</v>
      </c>
    </row>
    <row r="2" spans="1:11" x14ac:dyDescent="0.2">
      <c r="A2" s="2">
        <v>1.4</v>
      </c>
      <c r="B2" s="3">
        <v>1158</v>
      </c>
      <c r="C2" s="4">
        <v>1.83</v>
      </c>
      <c r="D2" s="4">
        <v>3.24</v>
      </c>
      <c r="E2" s="4">
        <v>4.04</v>
      </c>
      <c r="F2" s="4">
        <v>4.53</v>
      </c>
      <c r="G2" s="4">
        <v>4.84</v>
      </c>
      <c r="H2" s="4">
        <v>4.9000000000000004</v>
      </c>
      <c r="I2" s="4">
        <v>4.7</v>
      </c>
      <c r="J2" s="4">
        <v>4.43</v>
      </c>
      <c r="K2" s="4">
        <v>4.28</v>
      </c>
    </row>
    <row r="3" spans="1:11" x14ac:dyDescent="0.2">
      <c r="A3" s="2">
        <f>A2+0.1</f>
        <v>1.5</v>
      </c>
      <c r="B3" s="3">
        <v>1249</v>
      </c>
      <c r="C3" s="4">
        <v>1.74</v>
      </c>
      <c r="D3" s="4">
        <v>3.16</v>
      </c>
      <c r="E3" s="4">
        <v>3.99</v>
      </c>
      <c r="F3" s="4">
        <v>4.5199999999999996</v>
      </c>
      <c r="G3" s="4">
        <v>4.8499999999999996</v>
      </c>
      <c r="H3" s="4">
        <v>4.9000000000000004</v>
      </c>
      <c r="I3" s="4">
        <v>4.71</v>
      </c>
      <c r="J3" s="4">
        <v>4.49</v>
      </c>
      <c r="K3" s="4">
        <v>4.3499999999999996</v>
      </c>
    </row>
    <row r="4" spans="1:11" x14ac:dyDescent="0.2">
      <c r="A4" s="2">
        <f t="shared" ref="A4:A38" si="0">A3+0.1</f>
        <v>1.6</v>
      </c>
      <c r="B4" s="3">
        <v>1340</v>
      </c>
      <c r="C4" s="4">
        <v>1.67</v>
      </c>
      <c r="D4" s="4">
        <v>3.05</v>
      </c>
      <c r="E4" s="4">
        <v>3.96</v>
      </c>
      <c r="F4" s="4">
        <v>4.5</v>
      </c>
      <c r="G4" s="4">
        <v>4.8499999999999996</v>
      </c>
      <c r="H4" s="4">
        <v>4.8899999999999997</v>
      </c>
      <c r="I4" s="4">
        <v>4.72</v>
      </c>
      <c r="J4" s="4">
        <v>4.55</v>
      </c>
      <c r="K4" s="4">
        <v>4.41</v>
      </c>
    </row>
    <row r="5" spans="1:11" x14ac:dyDescent="0.2">
      <c r="A5" s="2">
        <f t="shared" si="0"/>
        <v>1.7000000000000002</v>
      </c>
      <c r="B5" s="3">
        <v>1432</v>
      </c>
      <c r="C5" s="4">
        <v>1.6</v>
      </c>
      <c r="D5" s="4">
        <v>3</v>
      </c>
      <c r="E5" s="4">
        <v>3.89</v>
      </c>
      <c r="F5" s="4">
        <v>4.49</v>
      </c>
      <c r="G5" s="4">
        <v>4.8499999999999996</v>
      </c>
      <c r="H5" s="4">
        <v>4.88</v>
      </c>
      <c r="I5" s="4">
        <v>4.74</v>
      </c>
      <c r="J5" s="4">
        <v>4.62</v>
      </c>
      <c r="K5" s="4">
        <v>4.45</v>
      </c>
    </row>
    <row r="6" spans="1:11" x14ac:dyDescent="0.2">
      <c r="A6" s="2">
        <f t="shared" si="0"/>
        <v>1.8000000000000003</v>
      </c>
      <c r="B6" s="3">
        <v>1525</v>
      </c>
      <c r="C6" s="4">
        <v>1.54</v>
      </c>
      <c r="D6" s="4">
        <v>2.93</v>
      </c>
      <c r="E6" s="4">
        <v>3.85</v>
      </c>
      <c r="F6" s="4">
        <v>4.47</v>
      </c>
      <c r="G6" s="4">
        <v>4.84</v>
      </c>
      <c r="H6" s="4">
        <v>4.87</v>
      </c>
      <c r="I6" s="4">
        <v>4.76</v>
      </c>
      <c r="J6" s="4">
        <v>4.66</v>
      </c>
      <c r="K6" s="4">
        <v>4.4800000000000004</v>
      </c>
    </row>
    <row r="7" spans="1:11" x14ac:dyDescent="0.2">
      <c r="A7" s="2">
        <f t="shared" si="0"/>
        <v>1.9000000000000004</v>
      </c>
      <c r="B7" s="3">
        <v>1618</v>
      </c>
      <c r="C7" s="4">
        <v>1.48</v>
      </c>
      <c r="D7" s="4">
        <v>2.86</v>
      </c>
      <c r="E7" s="4">
        <v>3.81</v>
      </c>
      <c r="F7" s="4">
        <v>4.46</v>
      </c>
      <c r="G7" s="4">
        <v>4.82</v>
      </c>
      <c r="H7" s="4">
        <v>4.8600000000000003</v>
      </c>
      <c r="I7" s="4">
        <v>4.78</v>
      </c>
      <c r="J7" s="4">
        <v>4.71</v>
      </c>
      <c r="K7" s="4">
        <v>4.51</v>
      </c>
    </row>
    <row r="8" spans="1:11" x14ac:dyDescent="0.2">
      <c r="A8" s="2">
        <f t="shared" si="0"/>
        <v>2.0000000000000004</v>
      </c>
      <c r="B8" s="3">
        <v>1711</v>
      </c>
      <c r="C8" s="4">
        <v>1.43</v>
      </c>
      <c r="D8" s="4">
        <v>2.79</v>
      </c>
      <c r="E8" s="4">
        <v>3.77</v>
      </c>
      <c r="F8" s="4">
        <v>4.4400000000000004</v>
      </c>
      <c r="G8" s="4">
        <v>4.8</v>
      </c>
      <c r="H8" s="4">
        <v>4.8499999999999996</v>
      </c>
      <c r="I8" s="4">
        <v>4.8</v>
      </c>
      <c r="J8" s="4">
        <v>4.75</v>
      </c>
      <c r="K8" s="4">
        <v>4.53</v>
      </c>
    </row>
    <row r="9" spans="1:11" x14ac:dyDescent="0.2">
      <c r="A9" s="2">
        <f t="shared" si="0"/>
        <v>2.1000000000000005</v>
      </c>
      <c r="B9" s="3">
        <v>1805</v>
      </c>
      <c r="C9" s="4">
        <v>1.39</v>
      </c>
      <c r="D9" s="4">
        <v>2.73</v>
      </c>
      <c r="E9" s="4">
        <v>3.73</v>
      </c>
      <c r="F9" s="4">
        <v>4.42</v>
      </c>
      <c r="G9" s="4">
        <v>4.78</v>
      </c>
      <c r="H9" s="4">
        <v>4.8499999999999996</v>
      </c>
      <c r="I9" s="4">
        <v>4.83</v>
      </c>
      <c r="J9" s="4">
        <v>4.78</v>
      </c>
      <c r="K9" s="4">
        <v>4.54</v>
      </c>
    </row>
    <row r="10" spans="1:11" x14ac:dyDescent="0.2">
      <c r="A10" s="2">
        <f t="shared" si="0"/>
        <v>2.2000000000000006</v>
      </c>
      <c r="B10" s="3">
        <v>1900</v>
      </c>
      <c r="C10" s="4">
        <v>1.35</v>
      </c>
      <c r="D10" s="4">
        <v>2.67</v>
      </c>
      <c r="E10" s="4">
        <v>3.69</v>
      </c>
      <c r="F10" s="4">
        <v>4.4000000000000004</v>
      </c>
      <c r="G10" s="4">
        <v>4.75</v>
      </c>
      <c r="H10" s="4">
        <v>4.84</v>
      </c>
      <c r="I10" s="4">
        <v>4.8499999999999996</v>
      </c>
      <c r="J10" s="4">
        <v>4.8099999999999996</v>
      </c>
      <c r="K10" s="4">
        <v>4.55</v>
      </c>
    </row>
    <row r="11" spans="1:11" x14ac:dyDescent="0.2">
      <c r="A11" s="2">
        <f t="shared" si="0"/>
        <v>2.3000000000000007</v>
      </c>
      <c r="B11" s="3">
        <v>1995</v>
      </c>
      <c r="C11" s="4">
        <v>1.31</v>
      </c>
      <c r="D11" s="4">
        <v>2.61</v>
      </c>
      <c r="E11" s="4">
        <v>3.66</v>
      </c>
      <c r="F11" s="4">
        <v>4.38</v>
      </c>
      <c r="G11" s="4">
        <v>4.72</v>
      </c>
      <c r="H11" s="4">
        <v>4.84</v>
      </c>
      <c r="I11" s="4">
        <v>4.88</v>
      </c>
      <c r="J11" s="4">
        <v>4.83</v>
      </c>
      <c r="K11" s="4">
        <v>4.57</v>
      </c>
    </row>
    <row r="12" spans="1:11" x14ac:dyDescent="0.2">
      <c r="A12" s="2">
        <f t="shared" si="0"/>
        <v>2.4000000000000008</v>
      </c>
      <c r="B12" s="3">
        <v>2091</v>
      </c>
      <c r="C12" s="4">
        <v>1.28</v>
      </c>
      <c r="D12" s="4">
        <v>2.56</v>
      </c>
      <c r="E12" s="4">
        <v>3.63</v>
      </c>
      <c r="F12" s="4">
        <v>4.3499999999999996</v>
      </c>
      <c r="G12" s="4">
        <v>4.6900000000000004</v>
      </c>
      <c r="H12" s="4">
        <v>4.84</v>
      </c>
      <c r="I12" s="4">
        <v>4.91</v>
      </c>
      <c r="J12" s="4">
        <v>4.8499999999999996</v>
      </c>
      <c r="K12" s="4">
        <v>4.58</v>
      </c>
    </row>
    <row r="13" spans="1:11" x14ac:dyDescent="0.2">
      <c r="A13" s="2">
        <f t="shared" si="0"/>
        <v>2.5000000000000009</v>
      </c>
      <c r="B13" s="3">
        <v>2187</v>
      </c>
      <c r="C13" s="4">
        <v>1.25</v>
      </c>
      <c r="D13" s="4">
        <v>2.5099999999999998</v>
      </c>
      <c r="E13" s="4">
        <v>3.59</v>
      </c>
      <c r="F13" s="4">
        <v>4.33</v>
      </c>
      <c r="G13" s="4">
        <v>4.67</v>
      </c>
      <c r="H13" s="4">
        <v>4.84</v>
      </c>
      <c r="I13" s="4">
        <v>4.93</v>
      </c>
      <c r="J13" s="4">
        <v>4.8600000000000003</v>
      </c>
      <c r="K13" s="4">
        <v>4.58</v>
      </c>
    </row>
    <row r="14" spans="1:11" x14ac:dyDescent="0.2">
      <c r="A14" s="2">
        <f t="shared" si="0"/>
        <v>2.600000000000001</v>
      </c>
      <c r="B14" s="3">
        <v>2283</v>
      </c>
      <c r="C14" s="4">
        <v>1.23</v>
      </c>
      <c r="D14" s="4">
        <v>2.4700000000000002</v>
      </c>
      <c r="E14" s="4">
        <v>3.56</v>
      </c>
      <c r="F14" s="4">
        <v>4.3</v>
      </c>
      <c r="G14" s="4">
        <v>4.6399999999999997</v>
      </c>
      <c r="H14" s="4">
        <v>4.84</v>
      </c>
      <c r="I14" s="4">
        <v>4.96</v>
      </c>
      <c r="J14" s="4">
        <v>4.88</v>
      </c>
      <c r="K14" s="4">
        <v>4.59</v>
      </c>
    </row>
    <row r="15" spans="1:11" x14ac:dyDescent="0.2">
      <c r="A15" s="2">
        <f t="shared" si="0"/>
        <v>2.7000000000000011</v>
      </c>
      <c r="B15" s="3">
        <v>2381</v>
      </c>
      <c r="C15" s="4">
        <v>1.2</v>
      </c>
      <c r="D15" s="4">
        <v>2.4300000000000002</v>
      </c>
      <c r="E15" s="4">
        <v>3.93</v>
      </c>
      <c r="F15" s="4">
        <v>4.25</v>
      </c>
      <c r="G15" s="4">
        <v>4.62</v>
      </c>
      <c r="H15" s="4">
        <v>4.84</v>
      </c>
      <c r="I15" s="4">
        <v>4.97</v>
      </c>
      <c r="J15" s="4">
        <v>4.8899999999999997</v>
      </c>
      <c r="K15" s="4">
        <v>4.5999999999999996</v>
      </c>
    </row>
    <row r="16" spans="1:11" x14ac:dyDescent="0.2">
      <c r="A16" s="2">
        <f t="shared" si="0"/>
        <v>2.8000000000000012</v>
      </c>
      <c r="B16" s="3">
        <v>2478</v>
      </c>
      <c r="C16" s="4">
        <v>1.18</v>
      </c>
      <c r="D16" s="4">
        <v>2.39</v>
      </c>
      <c r="E16" s="4">
        <v>3.5</v>
      </c>
      <c r="F16" s="4">
        <v>4.2300000000000004</v>
      </c>
      <c r="G16" s="4">
        <v>4.5999999999999996</v>
      </c>
      <c r="H16" s="4">
        <v>4.8499999999999996</v>
      </c>
      <c r="I16" s="4">
        <v>4.99</v>
      </c>
      <c r="J16" s="4">
        <v>4.9000000000000004</v>
      </c>
      <c r="K16" s="4">
        <v>4.6100000000000003</v>
      </c>
    </row>
    <row r="17" spans="1:11" x14ac:dyDescent="0.2">
      <c r="A17" s="2">
        <f t="shared" si="0"/>
        <v>2.9000000000000012</v>
      </c>
      <c r="B17" s="3">
        <v>2577</v>
      </c>
      <c r="C17" s="4">
        <v>1.1599999999999999</v>
      </c>
      <c r="D17" s="4">
        <v>2.36</v>
      </c>
      <c r="E17" s="4">
        <v>3.47</v>
      </c>
      <c r="F17" s="4">
        <v>4.2</v>
      </c>
      <c r="G17" s="4">
        <v>4.58</v>
      </c>
      <c r="H17" s="4">
        <v>4.8499999999999996</v>
      </c>
      <c r="I17" s="4">
        <v>5</v>
      </c>
      <c r="J17" s="4">
        <v>4.91</v>
      </c>
      <c r="K17" s="4">
        <v>4.62</v>
      </c>
    </row>
    <row r="18" spans="1:11" x14ac:dyDescent="0.2">
      <c r="A18" s="2">
        <f t="shared" si="0"/>
        <v>3.0000000000000013</v>
      </c>
      <c r="B18" s="3">
        <v>2675</v>
      </c>
      <c r="C18" s="4">
        <v>1.1499999999999999</v>
      </c>
      <c r="D18" s="4">
        <v>2.3199999999999998</v>
      </c>
      <c r="E18" s="4">
        <v>3.44</v>
      </c>
      <c r="F18" s="4">
        <v>4.16</v>
      </c>
      <c r="G18" s="4">
        <v>4.5599999999999996</v>
      </c>
      <c r="H18" s="4">
        <v>4.8600000000000003</v>
      </c>
      <c r="I18" s="4">
        <v>5.01</v>
      </c>
      <c r="J18" s="4">
        <v>4.91</v>
      </c>
      <c r="K18" s="4">
        <v>4.63</v>
      </c>
    </row>
    <row r="19" spans="1:11" x14ac:dyDescent="0.2">
      <c r="A19" s="2">
        <f t="shared" si="0"/>
        <v>3.1000000000000014</v>
      </c>
      <c r="B19" s="3">
        <v>2775</v>
      </c>
      <c r="C19" s="4">
        <v>1.1299999999999999</v>
      </c>
      <c r="D19" s="4">
        <v>2.29</v>
      </c>
      <c r="E19" s="4">
        <v>3.41</v>
      </c>
      <c r="F19" s="4">
        <v>4.12</v>
      </c>
      <c r="G19" s="4">
        <v>4.55</v>
      </c>
      <c r="H19" s="4">
        <v>4.8600000000000003</v>
      </c>
      <c r="I19" s="4">
        <v>5.01</v>
      </c>
      <c r="J19" s="4">
        <v>4.92</v>
      </c>
      <c r="K19" s="4">
        <v>4.6399999999999997</v>
      </c>
    </row>
    <row r="20" spans="1:11" x14ac:dyDescent="0.2">
      <c r="A20" s="2">
        <f t="shared" si="0"/>
        <v>3.2000000000000015</v>
      </c>
      <c r="B20" s="3">
        <v>2875</v>
      </c>
      <c r="C20" s="4">
        <v>1.1200000000000001</v>
      </c>
      <c r="D20" s="4">
        <v>2.27</v>
      </c>
      <c r="E20" s="4">
        <v>3.38</v>
      </c>
      <c r="F20" s="4">
        <v>4.09</v>
      </c>
      <c r="G20" s="4">
        <v>4.53</v>
      </c>
      <c r="H20" s="4">
        <v>4.8499999999999996</v>
      </c>
      <c r="I20" s="4">
        <v>5.01</v>
      </c>
      <c r="J20" s="4">
        <v>4.92</v>
      </c>
      <c r="K20" s="4">
        <v>4.6399999999999997</v>
      </c>
    </row>
    <row r="21" spans="1:11" x14ac:dyDescent="0.2">
      <c r="A21" s="2">
        <f t="shared" si="0"/>
        <v>3.3000000000000016</v>
      </c>
      <c r="B21" s="3">
        <v>2975</v>
      </c>
      <c r="C21" s="4">
        <v>1.1000000000000001</v>
      </c>
      <c r="D21" s="4">
        <v>2.2400000000000002</v>
      </c>
      <c r="E21" s="4">
        <v>3.35</v>
      </c>
      <c r="F21" s="4">
        <v>4.05</v>
      </c>
      <c r="G21" s="4">
        <v>4.5199999999999996</v>
      </c>
      <c r="H21" s="4">
        <v>4.8600000000000003</v>
      </c>
      <c r="I21" s="4">
        <v>5.01</v>
      </c>
      <c r="J21" s="4">
        <v>4.92</v>
      </c>
      <c r="K21" s="4">
        <v>4.6500000000000004</v>
      </c>
    </row>
    <row r="22" spans="1:11" x14ac:dyDescent="0.2">
      <c r="A22" s="2">
        <f t="shared" si="0"/>
        <v>3.4000000000000017</v>
      </c>
      <c r="B22" s="3">
        <v>3076</v>
      </c>
      <c r="C22" s="4">
        <v>1.0900000000000001</v>
      </c>
      <c r="D22" s="4">
        <v>2.2200000000000002</v>
      </c>
      <c r="E22" s="4">
        <v>3.32</v>
      </c>
      <c r="F22" s="4">
        <v>4.0199999999999996</v>
      </c>
      <c r="G22" s="4">
        <v>4.5</v>
      </c>
      <c r="H22" s="4">
        <v>4.8600000000000003</v>
      </c>
      <c r="I22" s="4">
        <v>5.01</v>
      </c>
      <c r="J22" s="4">
        <v>4.93</v>
      </c>
      <c r="K22" s="4">
        <v>4.6500000000000004</v>
      </c>
    </row>
    <row r="23" spans="1:11" x14ac:dyDescent="0.2">
      <c r="A23" s="2">
        <f t="shared" si="0"/>
        <v>3.5000000000000018</v>
      </c>
      <c r="B23" s="3">
        <v>3178</v>
      </c>
      <c r="C23" s="4">
        <v>1.08</v>
      </c>
      <c r="D23" s="4">
        <v>2.2000000000000002</v>
      </c>
      <c r="E23" s="4">
        <v>3.28</v>
      </c>
      <c r="F23" s="4">
        <v>3.99</v>
      </c>
      <c r="G23" s="4">
        <v>4.49</v>
      </c>
      <c r="H23" s="4">
        <v>4.96</v>
      </c>
      <c r="I23" s="4">
        <v>5.01</v>
      </c>
      <c r="J23" s="4">
        <v>4.93</v>
      </c>
      <c r="K23" s="4">
        <v>4.66</v>
      </c>
    </row>
    <row r="24" spans="1:11" x14ac:dyDescent="0.2">
      <c r="A24" s="2">
        <f t="shared" si="0"/>
        <v>3.6000000000000019</v>
      </c>
      <c r="B24" s="3">
        <v>3280</v>
      </c>
      <c r="C24" s="4">
        <v>1.07</v>
      </c>
      <c r="D24" s="4">
        <v>2.1800000000000002</v>
      </c>
      <c r="E24" s="4">
        <v>3.25</v>
      </c>
      <c r="F24" s="4">
        <v>3.96</v>
      </c>
      <c r="G24" s="4">
        <v>4.4800000000000004</v>
      </c>
      <c r="H24" s="4">
        <v>4.8600000000000003</v>
      </c>
      <c r="I24" s="4">
        <v>5.01</v>
      </c>
      <c r="J24" s="4">
        <v>4.93</v>
      </c>
      <c r="K24" s="4">
        <v>4.66</v>
      </c>
    </row>
    <row r="25" spans="1:11" x14ac:dyDescent="0.2">
      <c r="A25" s="2">
        <f t="shared" si="0"/>
        <v>3.700000000000002</v>
      </c>
      <c r="B25" s="3">
        <v>3383</v>
      </c>
      <c r="C25" s="4">
        <v>1.07</v>
      </c>
      <c r="D25" s="4">
        <v>2.16</v>
      </c>
      <c r="E25" s="4">
        <v>3.21</v>
      </c>
      <c r="F25" s="4">
        <v>3.93</v>
      </c>
      <c r="G25" s="4">
        <v>4.47</v>
      </c>
      <c r="H25" s="4">
        <v>4.8600000000000003</v>
      </c>
      <c r="I25" s="4">
        <v>5</v>
      </c>
      <c r="J25" s="4">
        <v>4.92</v>
      </c>
      <c r="K25" s="4">
        <v>4.66</v>
      </c>
    </row>
    <row r="26" spans="1:11" x14ac:dyDescent="0.2">
      <c r="A26" s="2">
        <f t="shared" si="0"/>
        <v>3.800000000000002</v>
      </c>
      <c r="B26" s="3">
        <v>3488</v>
      </c>
      <c r="C26" s="4">
        <v>1.06</v>
      </c>
      <c r="D26" s="4">
        <v>2.14</v>
      </c>
      <c r="E26" s="4">
        <v>3.17</v>
      </c>
      <c r="F26" s="4">
        <v>3.9</v>
      </c>
      <c r="G26" s="4">
        <v>4.46</v>
      </c>
      <c r="H26" s="4">
        <v>4.8499999999999996</v>
      </c>
      <c r="I26" s="4">
        <v>4.99</v>
      </c>
      <c r="J26" s="4">
        <v>4.92</v>
      </c>
      <c r="K26" s="4">
        <v>4.67</v>
      </c>
    </row>
    <row r="27" spans="1:11" x14ac:dyDescent="0.2">
      <c r="A27" s="2">
        <f t="shared" si="0"/>
        <v>3.9000000000000021</v>
      </c>
      <c r="B27" s="3">
        <v>3590</v>
      </c>
      <c r="C27" s="4">
        <v>1.05</v>
      </c>
      <c r="D27" s="4">
        <v>2.13</v>
      </c>
      <c r="E27" s="4">
        <v>3.13</v>
      </c>
      <c r="F27" s="4">
        <v>3.87</v>
      </c>
      <c r="G27" s="4">
        <v>4.45</v>
      </c>
      <c r="H27" s="4">
        <v>4.8499999999999996</v>
      </c>
      <c r="I27" s="4">
        <v>4.99</v>
      </c>
      <c r="J27" s="4">
        <v>4.92</v>
      </c>
      <c r="K27" s="4">
        <v>4.67</v>
      </c>
    </row>
    <row r="28" spans="1:11" x14ac:dyDescent="0.2">
      <c r="A28" s="2">
        <f t="shared" si="0"/>
        <v>4.0000000000000018</v>
      </c>
      <c r="B28" s="3">
        <v>3695</v>
      </c>
      <c r="C28" s="4">
        <v>1.05</v>
      </c>
      <c r="D28" s="4">
        <v>2.12</v>
      </c>
      <c r="E28" s="4">
        <v>3.09</v>
      </c>
      <c r="F28" s="4">
        <v>3.84</v>
      </c>
      <c r="G28" s="4">
        <v>4.4400000000000004</v>
      </c>
      <c r="H28" s="4">
        <v>4.84</v>
      </c>
      <c r="I28" s="4">
        <v>4.9800000000000004</v>
      </c>
      <c r="J28" s="4">
        <v>4.91</v>
      </c>
      <c r="K28" s="4">
        <v>4.67</v>
      </c>
    </row>
    <row r="29" spans="1:11" x14ac:dyDescent="0.2">
      <c r="A29" s="2">
        <f t="shared" si="0"/>
        <v>4.1000000000000014</v>
      </c>
      <c r="B29" s="3">
        <v>3801</v>
      </c>
      <c r="C29" s="4">
        <v>1.04</v>
      </c>
      <c r="D29" s="4">
        <v>2.11</v>
      </c>
      <c r="E29" s="4">
        <v>3.06</v>
      </c>
      <c r="F29" s="4">
        <v>3.82</v>
      </c>
      <c r="G29" s="4">
        <v>4.43</v>
      </c>
      <c r="H29" s="4">
        <v>4.83</v>
      </c>
      <c r="I29" s="4">
        <v>4.97</v>
      </c>
      <c r="J29" s="4">
        <v>4.91</v>
      </c>
      <c r="K29" s="4">
        <v>4.76</v>
      </c>
    </row>
    <row r="30" spans="1:11" x14ac:dyDescent="0.2">
      <c r="A30" s="2">
        <f t="shared" si="0"/>
        <v>4.2000000000000011</v>
      </c>
      <c r="B30" s="3">
        <v>3907</v>
      </c>
      <c r="C30" s="4">
        <v>1.04</v>
      </c>
      <c r="D30" s="4">
        <v>2.1</v>
      </c>
      <c r="E30" s="4">
        <v>3.02</v>
      </c>
      <c r="F30" s="4">
        <v>3.79</v>
      </c>
      <c r="G30" s="4">
        <v>4.42</v>
      </c>
      <c r="H30" s="4">
        <v>4.82</v>
      </c>
      <c r="I30" s="4">
        <v>4.96</v>
      </c>
      <c r="J30" s="4">
        <v>4.91</v>
      </c>
      <c r="K30" s="4">
        <v>4.68</v>
      </c>
    </row>
    <row r="31" spans="1:11" x14ac:dyDescent="0.2">
      <c r="A31" s="2">
        <f t="shared" si="0"/>
        <v>4.3000000000000007</v>
      </c>
      <c r="B31" s="3">
        <v>4301</v>
      </c>
      <c r="C31" s="4">
        <v>1.03</v>
      </c>
      <c r="D31" s="4">
        <v>2.09</v>
      </c>
      <c r="E31" s="4">
        <v>2.99</v>
      </c>
      <c r="F31" s="4">
        <v>3.76</v>
      </c>
      <c r="G31" s="4">
        <v>4.41</v>
      </c>
      <c r="H31" s="4">
        <v>4.8099999999999996</v>
      </c>
      <c r="I31" s="4">
        <v>4.95</v>
      </c>
      <c r="J31" s="4">
        <v>4.9000000000000004</v>
      </c>
      <c r="K31" s="4">
        <v>4.68</v>
      </c>
    </row>
    <row r="32" spans="1:11" x14ac:dyDescent="0.2">
      <c r="A32" s="2">
        <f t="shared" si="0"/>
        <v>4.4000000000000004</v>
      </c>
      <c r="B32" s="3">
        <v>4120</v>
      </c>
      <c r="C32" s="4">
        <v>1.06</v>
      </c>
      <c r="D32" s="4">
        <v>2.08</v>
      </c>
      <c r="E32" s="4">
        <v>2.95</v>
      </c>
      <c r="F32" s="4">
        <v>3.74</v>
      </c>
      <c r="G32" s="4">
        <v>4.4000000000000004</v>
      </c>
      <c r="H32" s="4">
        <v>4.79</v>
      </c>
      <c r="I32" s="4">
        <v>4.9400000000000004</v>
      </c>
      <c r="J32" s="4">
        <v>4.9000000000000004</v>
      </c>
      <c r="K32" s="4">
        <v>4.68</v>
      </c>
    </row>
    <row r="33" spans="1:11" x14ac:dyDescent="0.2">
      <c r="A33" s="2">
        <f t="shared" si="0"/>
        <v>4.5</v>
      </c>
      <c r="B33" s="3">
        <v>4227</v>
      </c>
      <c r="C33" s="4">
        <v>1.03</v>
      </c>
      <c r="D33" s="4">
        <v>2.06</v>
      </c>
      <c r="E33" s="4">
        <v>2.92</v>
      </c>
      <c r="F33" s="4">
        <v>3.72</v>
      </c>
      <c r="G33" s="4">
        <v>4.3899999999999997</v>
      </c>
      <c r="H33" s="4">
        <v>4.78</v>
      </c>
      <c r="I33" s="4">
        <v>4.93</v>
      </c>
      <c r="J33" s="4">
        <v>4.8899999999999997</v>
      </c>
      <c r="K33" s="4">
        <v>4.68</v>
      </c>
    </row>
    <row r="34" spans="1:11" x14ac:dyDescent="0.2">
      <c r="A34" s="2">
        <f t="shared" si="0"/>
        <v>4.5999999999999996</v>
      </c>
      <c r="B34" s="3">
        <v>4334</v>
      </c>
      <c r="C34" s="4">
        <v>1.02</v>
      </c>
      <c r="D34" s="199">
        <v>2.0499999999999998</v>
      </c>
      <c r="E34" s="4">
        <v>2.9</v>
      </c>
      <c r="F34" s="4">
        <v>3.69</v>
      </c>
      <c r="G34" s="4">
        <v>4.37</v>
      </c>
      <c r="H34" s="4">
        <v>4.7699999999999996</v>
      </c>
      <c r="I34" s="4">
        <v>4.92</v>
      </c>
      <c r="J34" s="4">
        <v>4.88</v>
      </c>
      <c r="K34" s="4">
        <v>4.68</v>
      </c>
    </row>
    <row r="35" spans="1:11" x14ac:dyDescent="0.2">
      <c r="A35" s="2">
        <f t="shared" si="0"/>
        <v>4.6999999999999993</v>
      </c>
      <c r="B35" s="3">
        <v>4442</v>
      </c>
      <c r="C35" s="4">
        <v>1.02</v>
      </c>
      <c r="D35" s="4">
        <v>2.0299999999999998</v>
      </c>
      <c r="E35" s="4">
        <v>2.87</v>
      </c>
      <c r="F35" s="4">
        <v>3.67</v>
      </c>
      <c r="G35" s="4">
        <v>4.3600000000000003</v>
      </c>
      <c r="H35" s="4">
        <v>4.75</v>
      </c>
      <c r="I35" s="4">
        <v>4.91</v>
      </c>
      <c r="J35" s="4">
        <v>4.88</v>
      </c>
      <c r="K35" s="4">
        <v>4.68</v>
      </c>
    </row>
    <row r="36" spans="1:11" x14ac:dyDescent="0.2">
      <c r="A36" s="2">
        <f t="shared" si="0"/>
        <v>4.7999999999999989</v>
      </c>
      <c r="B36" s="3">
        <v>4549</v>
      </c>
      <c r="C36" s="4">
        <v>1.02</v>
      </c>
      <c r="D36" s="4">
        <v>2.0099999999999998</v>
      </c>
      <c r="E36" s="4">
        <v>2.84</v>
      </c>
      <c r="F36" s="4">
        <v>3.65</v>
      </c>
      <c r="G36" s="4">
        <v>4.34</v>
      </c>
      <c r="H36" s="4">
        <v>4.74</v>
      </c>
      <c r="I36" s="4">
        <v>4.9000000000000004</v>
      </c>
      <c r="J36" s="4">
        <v>4.87</v>
      </c>
      <c r="K36" s="4">
        <v>4.68</v>
      </c>
    </row>
    <row r="37" spans="1:11" x14ac:dyDescent="0.2">
      <c r="A37" s="2">
        <f t="shared" si="0"/>
        <v>4.8999999999999986</v>
      </c>
      <c r="B37" s="3">
        <v>4657</v>
      </c>
      <c r="C37" s="4">
        <v>1.2</v>
      </c>
      <c r="D37" s="4">
        <v>1.99</v>
      </c>
      <c r="E37" s="4">
        <v>2.82</v>
      </c>
      <c r="F37" s="4">
        <v>3.63</v>
      </c>
      <c r="G37" s="4">
        <v>4.32</v>
      </c>
      <c r="H37" s="4">
        <v>4.72</v>
      </c>
      <c r="I37" s="4">
        <v>4.8899999999999997</v>
      </c>
      <c r="J37" s="4">
        <v>4.87</v>
      </c>
      <c r="K37" s="4">
        <v>4.68</v>
      </c>
    </row>
    <row r="38" spans="1:11" x14ac:dyDescent="0.2">
      <c r="A38" s="2">
        <f t="shared" si="0"/>
        <v>4.9999999999999982</v>
      </c>
      <c r="B38" s="3">
        <v>4766</v>
      </c>
      <c r="C38" s="4">
        <v>1.02</v>
      </c>
      <c r="D38" s="4">
        <v>1.97</v>
      </c>
      <c r="E38" s="4">
        <v>2.08</v>
      </c>
      <c r="F38" s="4">
        <v>3.61</v>
      </c>
      <c r="G38" s="4">
        <v>4.3</v>
      </c>
      <c r="H38" s="4">
        <v>4.71</v>
      </c>
      <c r="I38" s="4">
        <v>4.88</v>
      </c>
      <c r="J38" s="4">
        <v>4.8600000000000003</v>
      </c>
      <c r="K38" s="4">
        <v>4.68</v>
      </c>
    </row>
  </sheetData>
  <sheetProtection password="CEC6" sheet="1" objects="1" scenarios="1"/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Q108"/>
  <sheetViews>
    <sheetView topLeftCell="A34" workbookViewId="0">
      <selection activeCell="B53" sqref="B53"/>
    </sheetView>
  </sheetViews>
  <sheetFormatPr defaultRowHeight="12.75" x14ac:dyDescent="0.2"/>
  <cols>
    <col min="1" max="3" width="9.140625" style="8"/>
    <col min="4" max="4" width="9.140625" style="9"/>
    <col min="5" max="5" width="9.140625" style="8"/>
    <col min="6" max="12" width="9.140625" style="9"/>
    <col min="13" max="16384" width="9.140625" style="8"/>
  </cols>
  <sheetData>
    <row r="1" spans="1:17" ht="15.75" x14ac:dyDescent="0.2">
      <c r="N1" s="98"/>
      <c r="O1" s="99" t="s">
        <v>208</v>
      </c>
      <c r="P1" s="98"/>
    </row>
    <row r="2" spans="1:17" x14ac:dyDescent="0.2">
      <c r="E2" s="8" t="s">
        <v>92</v>
      </c>
      <c r="F2" s="9" t="s">
        <v>93</v>
      </c>
    </row>
    <row r="3" spans="1:17" x14ac:dyDescent="0.2">
      <c r="A3" s="8" t="s">
        <v>85</v>
      </c>
      <c r="B3" s="46">
        <f>'DATA IN PUT'!B10</f>
        <v>3.97</v>
      </c>
      <c r="C3" s="337" t="s">
        <v>47</v>
      </c>
      <c r="D3" s="333">
        <f>(B3+B4)/2</f>
        <v>3.97</v>
      </c>
      <c r="E3" s="334"/>
      <c r="F3" s="333">
        <f>D3+E3</f>
        <v>3.97</v>
      </c>
      <c r="G3" s="334">
        <v>1</v>
      </c>
      <c r="H3" s="333">
        <f>F3*G3</f>
        <v>3.97</v>
      </c>
      <c r="N3" s="51"/>
      <c r="O3" s="33" t="s">
        <v>205</v>
      </c>
      <c r="P3" s="51"/>
    </row>
    <row r="4" spans="1:17" x14ac:dyDescent="0.2">
      <c r="A4" s="8" t="s">
        <v>86</v>
      </c>
      <c r="B4" s="46">
        <f>'DATA IN PUT'!B11</f>
        <v>3.97</v>
      </c>
      <c r="C4" s="337"/>
      <c r="D4" s="333"/>
      <c r="E4" s="334"/>
      <c r="F4" s="333"/>
      <c r="G4" s="334"/>
      <c r="H4" s="333"/>
      <c r="M4" s="14" t="s">
        <v>203</v>
      </c>
      <c r="N4" s="14" t="s">
        <v>200</v>
      </c>
      <c r="O4" s="14" t="s">
        <v>201</v>
      </c>
      <c r="P4" s="14" t="s">
        <v>52</v>
      </c>
      <c r="Q4" s="14" t="s">
        <v>202</v>
      </c>
    </row>
    <row r="5" spans="1:17" x14ac:dyDescent="0.2">
      <c r="A5" s="8" t="s">
        <v>87</v>
      </c>
      <c r="B5" s="46">
        <f>'DATA IN PUT'!B12</f>
        <v>3.99</v>
      </c>
      <c r="C5" s="337" t="s">
        <v>91</v>
      </c>
      <c r="D5" s="333">
        <f>(B5+B6)/2</f>
        <v>3.99</v>
      </c>
      <c r="E5" s="334"/>
      <c r="F5" s="333">
        <f>D5+E5</f>
        <v>3.99</v>
      </c>
      <c r="G5" s="334">
        <v>6</v>
      </c>
      <c r="H5" s="333">
        <f>F5*G5</f>
        <v>23.94</v>
      </c>
      <c r="M5" s="14">
        <f>RADIANS(10)</f>
        <v>0.17453292519943295</v>
      </c>
      <c r="N5" s="14">
        <v>0</v>
      </c>
      <c r="O5" s="14">
        <v>1</v>
      </c>
      <c r="P5" s="94">
        <f>B38</f>
        <v>0</v>
      </c>
      <c r="Q5" s="14">
        <f>O5*P5</f>
        <v>0</v>
      </c>
    </row>
    <row r="6" spans="1:17" x14ac:dyDescent="0.2">
      <c r="A6" s="8" t="s">
        <v>88</v>
      </c>
      <c r="B6" s="46">
        <f>'DATA IN PUT'!B13</f>
        <v>3.99</v>
      </c>
      <c r="C6" s="337"/>
      <c r="D6" s="333"/>
      <c r="E6" s="334"/>
      <c r="F6" s="333"/>
      <c r="G6" s="334"/>
      <c r="H6" s="333"/>
      <c r="M6" s="14"/>
      <c r="N6" s="14">
        <v>10</v>
      </c>
      <c r="O6" s="14">
        <v>3</v>
      </c>
      <c r="P6" s="94">
        <f>C38</f>
        <v>0.23469032831561898</v>
      </c>
      <c r="Q6" s="14">
        <f>O6*P6</f>
        <v>0.70407098494685694</v>
      </c>
    </row>
    <row r="7" spans="1:17" x14ac:dyDescent="0.2">
      <c r="A7" s="8" t="s">
        <v>89</v>
      </c>
      <c r="B7" s="46">
        <f>'DATA IN PUT'!B14</f>
        <v>4</v>
      </c>
      <c r="C7" s="337" t="s">
        <v>46</v>
      </c>
      <c r="D7" s="333">
        <f>(B7+B8)/2</f>
        <v>4</v>
      </c>
      <c r="E7" s="334"/>
      <c r="F7" s="333">
        <f>D7+E7</f>
        <v>4</v>
      </c>
      <c r="G7" s="334">
        <v>1</v>
      </c>
      <c r="H7" s="333">
        <f>F7*G7</f>
        <v>4</v>
      </c>
      <c r="M7" s="14"/>
      <c r="N7" s="14">
        <v>20</v>
      </c>
      <c r="O7" s="14">
        <v>3</v>
      </c>
      <c r="P7" s="94">
        <f>D38</f>
        <v>0.524153428438767</v>
      </c>
      <c r="Q7" s="14">
        <f>O7*P7</f>
        <v>1.572460285316301</v>
      </c>
    </row>
    <row r="8" spans="1:17" x14ac:dyDescent="0.2">
      <c r="A8" s="8" t="s">
        <v>90</v>
      </c>
      <c r="B8" s="46">
        <f>'DATA IN PUT'!B15</f>
        <v>4</v>
      </c>
      <c r="C8" s="337"/>
      <c r="D8" s="333"/>
      <c r="E8" s="334"/>
      <c r="F8" s="333"/>
      <c r="G8" s="334"/>
      <c r="H8" s="333"/>
      <c r="M8" s="14"/>
      <c r="N8" s="14">
        <v>30</v>
      </c>
      <c r="O8" s="14">
        <v>1</v>
      </c>
      <c r="P8" s="94">
        <f>E38</f>
        <v>0.78240936404122996</v>
      </c>
      <c r="Q8" s="14">
        <f>O8*P8</f>
        <v>0.78240936404122996</v>
      </c>
    </row>
    <row r="9" spans="1:17" x14ac:dyDescent="0.2">
      <c r="D9" s="10" t="s">
        <v>96</v>
      </c>
      <c r="F9" s="10" t="s">
        <v>94</v>
      </c>
      <c r="H9" s="10" t="s">
        <v>95</v>
      </c>
      <c r="M9" s="14"/>
      <c r="N9" s="14"/>
      <c r="O9" s="14"/>
      <c r="P9" s="14"/>
      <c r="Q9" s="14">
        <f>SUM(Q5:Q8)</f>
        <v>3.0589406343043879</v>
      </c>
    </row>
    <row r="10" spans="1:17" x14ac:dyDescent="0.2">
      <c r="A10" s="11" t="s">
        <v>97</v>
      </c>
      <c r="B10" s="12">
        <v>85.2</v>
      </c>
      <c r="D10" s="10">
        <f>(D3+D7)/2</f>
        <v>3.9850000000000003</v>
      </c>
      <c r="F10" s="10">
        <f>F7-F3</f>
        <v>2.9999999999999805E-2</v>
      </c>
      <c r="H10" s="100">
        <f>SUM(H3:H8)/8</f>
        <v>3.98875</v>
      </c>
      <c r="M10" s="14"/>
      <c r="N10" s="14"/>
      <c r="O10" s="96" t="s">
        <v>204</v>
      </c>
      <c r="P10" s="97">
        <f>(M5/3)*Q9</f>
        <v>0.17796195230551792</v>
      </c>
      <c r="Q10" s="14"/>
    </row>
    <row r="12" spans="1:17" x14ac:dyDescent="0.2">
      <c r="N12" s="51"/>
      <c r="O12" s="33" t="s">
        <v>206</v>
      </c>
      <c r="P12" s="51"/>
    </row>
    <row r="13" spans="1:17" x14ac:dyDescent="0.2">
      <c r="M13" s="14" t="s">
        <v>203</v>
      </c>
      <c r="N13" s="14">
        <v>0</v>
      </c>
      <c r="O13" s="14">
        <v>1</v>
      </c>
      <c r="P13" s="94">
        <f>B38</f>
        <v>0</v>
      </c>
      <c r="Q13" s="14">
        <f>O13*P13</f>
        <v>0</v>
      </c>
    </row>
    <row r="14" spans="1:17" x14ac:dyDescent="0.2">
      <c r="H14" s="9" t="s">
        <v>99</v>
      </c>
      <c r="I14" s="16" t="s">
        <v>209</v>
      </c>
      <c r="J14" s="16" t="s">
        <v>210</v>
      </c>
      <c r="M14" s="14">
        <f>RADIANS(10)</f>
        <v>0.17453292519943295</v>
      </c>
      <c r="N14" s="14">
        <v>10</v>
      </c>
      <c r="O14" s="14">
        <v>4</v>
      </c>
      <c r="P14" s="94">
        <f>C38</f>
        <v>0.23469032831561898</v>
      </c>
      <c r="Q14" s="14">
        <f>O14*P14</f>
        <v>0.93876131326247592</v>
      </c>
    </row>
    <row r="15" spans="1:17" x14ac:dyDescent="0.2">
      <c r="H15" s="9">
        <f>I15-TRUNC(I15,1)</f>
        <v>8.8750000000000107E-2</v>
      </c>
      <c r="I15" s="95">
        <f>H10</f>
        <v>3.98875</v>
      </c>
      <c r="J15" s="95">
        <f>I15+0.1</f>
        <v>4.0887500000000001</v>
      </c>
      <c r="M15" s="14"/>
      <c r="N15" s="14">
        <v>20</v>
      </c>
      <c r="O15" s="14">
        <v>2</v>
      </c>
      <c r="P15" s="94">
        <f>D38</f>
        <v>0.524153428438767</v>
      </c>
      <c r="Q15" s="14">
        <f>O15*P15</f>
        <v>1.048306856877534</v>
      </c>
    </row>
    <row r="16" spans="1:17" x14ac:dyDescent="0.2">
      <c r="A16" s="13" t="s">
        <v>98</v>
      </c>
      <c r="B16" s="174">
        <f>10*(H15*(J16-I16))+I16</f>
        <v>3683.1875</v>
      </c>
      <c r="H16" s="9">
        <f>H15</f>
        <v>8.8750000000000107E-2</v>
      </c>
      <c r="I16" s="10">
        <f>VLOOKUP(I15,'Hydrostatic Table'!A2:H38,2,TRUE)</f>
        <v>3590</v>
      </c>
      <c r="J16" s="10">
        <f>VLOOKUP(J15,'Hydrostatic Table'!A2:H38,2,TRUE)</f>
        <v>3695</v>
      </c>
      <c r="M16" s="14"/>
      <c r="N16" s="14">
        <v>30</v>
      </c>
      <c r="O16" s="14">
        <v>4</v>
      </c>
      <c r="P16" s="94">
        <f>E38</f>
        <v>0.78240936404122996</v>
      </c>
      <c r="Q16" s="14">
        <f>O16*P16</f>
        <v>3.1296374561649198</v>
      </c>
    </row>
    <row r="17" spans="1:17" x14ac:dyDescent="0.2">
      <c r="A17" s="14" t="s">
        <v>100</v>
      </c>
      <c r="B17" s="14">
        <f>10*(H16*(J17-I17))+I17-(B10/2)</f>
        <v>0.88562499999999744</v>
      </c>
      <c r="H17" s="9">
        <f>H16</f>
        <v>8.8750000000000107E-2</v>
      </c>
      <c r="I17" s="15">
        <f>VLOOKUP(I15,'Hydrostatic Table'!A2:H38,5,TRUE)</f>
        <v>43.53</v>
      </c>
      <c r="J17" s="15">
        <f>VLOOKUP(J15,'Hydrostatic Table'!A2:H38,5,TRUE)</f>
        <v>43.48</v>
      </c>
      <c r="M17" s="14"/>
      <c r="N17" s="14">
        <v>40</v>
      </c>
      <c r="O17" s="14">
        <v>1</v>
      </c>
      <c r="P17" s="94">
        <f>F38</f>
        <v>0.85199565317911885</v>
      </c>
      <c r="Q17" s="14">
        <f>O17*P17</f>
        <v>0.85199565317911885</v>
      </c>
    </row>
    <row r="18" spans="1:17" x14ac:dyDescent="0.2">
      <c r="A18" s="17" t="s">
        <v>101</v>
      </c>
      <c r="B18" s="17">
        <f>10*(H17*(J18-I18))+I18</f>
        <v>10.482125</v>
      </c>
      <c r="G18" s="20" t="s">
        <v>126</v>
      </c>
      <c r="H18" s="9">
        <f>H17</f>
        <v>8.8750000000000107E-2</v>
      </c>
      <c r="I18" s="18">
        <f>VLOOKUP(I15,'Hydrostatic Table'!A2:H38,6,TRUE)</f>
        <v>10.42</v>
      </c>
      <c r="J18" s="18">
        <f>VLOOKUP(J15,'Hydrostatic Table'!A2:H38,6,TRUE)</f>
        <v>10.49</v>
      </c>
      <c r="M18" s="14"/>
      <c r="N18" s="14"/>
      <c r="O18" s="14"/>
      <c r="P18" s="14"/>
      <c r="Q18" s="14">
        <f>SUM(Q13:Q17)</f>
        <v>5.9687012794840477</v>
      </c>
    </row>
    <row r="19" spans="1:17" x14ac:dyDescent="0.2">
      <c r="A19" s="19" t="s">
        <v>103</v>
      </c>
      <c r="B19" s="19">
        <f>10*(H18*(J19-I19))+I19</f>
        <v>5582.4749999999985</v>
      </c>
      <c r="G19" s="20">
        <f>H10+0.5</f>
        <v>4.4887499999999996</v>
      </c>
      <c r="H19" s="9">
        <f>G19-TRUNC(G19,1)</f>
        <v>8.8749999999999218E-2</v>
      </c>
      <c r="I19" s="20">
        <f>VLOOKUP(G19,'Hydrostatic Table'!A2:H38,4,TRUE)</f>
        <v>6454</v>
      </c>
      <c r="J19" s="20">
        <f>VLOOKUP(G20,'Hydrostatic Table'!A2:H38,4,TRUE)</f>
        <v>5472</v>
      </c>
      <c r="M19" s="14"/>
      <c r="N19" s="14"/>
      <c r="O19" s="96" t="s">
        <v>204</v>
      </c>
      <c r="P19" s="97">
        <f>(3*M14/8)*Q18</f>
        <v>0.39065058523123086</v>
      </c>
      <c r="Q19" s="14"/>
    </row>
    <row r="20" spans="1:17" x14ac:dyDescent="0.2">
      <c r="A20" s="19" t="s">
        <v>102</v>
      </c>
      <c r="B20" s="19">
        <f>10*(H19*(J20-I20))+I20</f>
        <v>5472</v>
      </c>
      <c r="G20" s="20">
        <f>H10-0.5</f>
        <v>3.48875</v>
      </c>
      <c r="H20" s="9">
        <f>G20-TRUNC(G20,1)</f>
        <v>8.8750000000000107E-2</v>
      </c>
      <c r="I20" s="20">
        <f>VLOOKUP(G20,'Hydrostatic Table'!A2:H38,4,TRUE)</f>
        <v>5472</v>
      </c>
      <c r="J20" s="20">
        <f>VLOOKUP(G20,'Hydrostatic Table'!A2:H38,4,TRUE)</f>
        <v>5472</v>
      </c>
    </row>
    <row r="21" spans="1:17" x14ac:dyDescent="0.2">
      <c r="A21" s="21" t="s">
        <v>104</v>
      </c>
      <c r="B21" s="21">
        <f>B19-B20</f>
        <v>110.47499999999854</v>
      </c>
      <c r="N21" s="51"/>
      <c r="O21" s="33" t="s">
        <v>207</v>
      </c>
      <c r="P21" s="51"/>
    </row>
    <row r="22" spans="1:17" x14ac:dyDescent="0.2">
      <c r="A22" s="47" t="s">
        <v>127</v>
      </c>
      <c r="B22" s="47">
        <f>10*(H22*(J22-I22))+I22</f>
        <v>5.9933750000000003</v>
      </c>
      <c r="H22" s="9">
        <f>H15</f>
        <v>8.8750000000000107E-2</v>
      </c>
      <c r="I22" s="48">
        <f>VLOOKUP(I15,'Hydrostatic Table'!A2:H38,3,TRUE)</f>
        <v>6.02</v>
      </c>
      <c r="J22" s="48">
        <f>VLOOKUP(J15,'Hydrostatic Table'!A2:H38,3,TRUE)</f>
        <v>5.99</v>
      </c>
      <c r="M22" s="14" t="s">
        <v>203</v>
      </c>
      <c r="N22" s="14">
        <v>30</v>
      </c>
      <c r="O22" s="14">
        <v>5</v>
      </c>
      <c r="P22" s="94">
        <f>E38</f>
        <v>0.78240936404122996</v>
      </c>
      <c r="Q22" s="14">
        <f>O22*P22</f>
        <v>3.9120468202061498</v>
      </c>
    </row>
    <row r="23" spans="1:17" x14ac:dyDescent="0.2">
      <c r="A23" s="47" t="s">
        <v>211</v>
      </c>
      <c r="B23" s="101">
        <f>B31/(B18*4)</f>
        <v>87.852281249378024</v>
      </c>
      <c r="C23" s="47" t="s">
        <v>259</v>
      </c>
      <c r="I23" s="48"/>
      <c r="J23" s="48"/>
      <c r="M23" s="14"/>
      <c r="N23" s="14"/>
      <c r="O23" s="14"/>
      <c r="P23" s="94"/>
      <c r="Q23" s="14"/>
    </row>
    <row r="24" spans="1:17" x14ac:dyDescent="0.2">
      <c r="A24" s="171" t="s">
        <v>258</v>
      </c>
      <c r="B24" s="172">
        <f>(B23*(1.025-'DATA IN PUT'!B16))/(1.025-1)/1000</f>
        <v>6.3253642499552454E-2</v>
      </c>
      <c r="C24" s="171" t="s">
        <v>260</v>
      </c>
      <c r="M24" s="14">
        <f>RADIANS(10)</f>
        <v>0.17453292519943295</v>
      </c>
      <c r="N24" s="14">
        <v>40</v>
      </c>
      <c r="O24" s="14">
        <v>8</v>
      </c>
      <c r="P24" s="94">
        <f>F38</f>
        <v>0.85199565317911885</v>
      </c>
      <c r="Q24" s="14">
        <f>O24*P24</f>
        <v>6.8159652254329508</v>
      </c>
    </row>
    <row r="25" spans="1:17" x14ac:dyDescent="0.2">
      <c r="A25" s="335" t="s">
        <v>262</v>
      </c>
      <c r="B25" s="336">
        <f>10*(H27*(J28-I28))+I28</f>
        <v>3616.7711753754702</v>
      </c>
      <c r="C25" s="171"/>
      <c r="M25" s="14"/>
      <c r="N25" s="14"/>
      <c r="O25" s="14"/>
      <c r="P25" s="94"/>
      <c r="Q25" s="14"/>
    </row>
    <row r="26" spans="1:17" x14ac:dyDescent="0.2">
      <c r="A26" s="335"/>
      <c r="B26" s="336"/>
      <c r="C26" s="171"/>
      <c r="G26" s="15" t="s">
        <v>261</v>
      </c>
      <c r="H26" s="15"/>
      <c r="I26" s="15"/>
      <c r="J26" s="15"/>
      <c r="M26" s="14"/>
      <c r="N26" s="14"/>
      <c r="O26" s="14"/>
      <c r="P26" s="94"/>
      <c r="Q26" s="14"/>
    </row>
    <row r="27" spans="1:17" x14ac:dyDescent="0.2">
      <c r="A27" s="8" t="s">
        <v>105</v>
      </c>
      <c r="G27" s="175">
        <f>H10-B24</f>
        <v>3.9254963575004478</v>
      </c>
      <c r="H27" s="176">
        <f>I27-TRUNC(I27,1)</f>
        <v>2.5496357500447875E-2</v>
      </c>
      <c r="I27" s="175">
        <f>G27</f>
        <v>3.9254963575004478</v>
      </c>
      <c r="J27" s="175">
        <f>G27+0.1</f>
        <v>4.0254963575004474</v>
      </c>
      <c r="M27" s="14"/>
      <c r="N27" s="14">
        <v>50</v>
      </c>
      <c r="O27" s="14">
        <v>-1</v>
      </c>
      <c r="P27" s="94">
        <f>G38</f>
        <v>0.85328247721127282</v>
      </c>
      <c r="Q27" s="14">
        <f>O27*P27</f>
        <v>-0.85328247721127282</v>
      </c>
    </row>
    <row r="28" spans="1:17" x14ac:dyDescent="0.2">
      <c r="A28" s="8" t="s">
        <v>106</v>
      </c>
      <c r="B28" s="22">
        <f>(F10*B18*B17*100)/B10</f>
        <v>0.32687436454665181</v>
      </c>
      <c r="C28" s="9">
        <f>(2*B10)/100</f>
        <v>1.704</v>
      </c>
      <c r="G28" s="15"/>
      <c r="H28" s="15"/>
      <c r="I28" s="15">
        <f>VLOOKUP(I27,'Hydrostatic Table'!A2:H38,2,TRUE)</f>
        <v>3590</v>
      </c>
      <c r="J28" s="15">
        <f>VLOOKUP(J27,'Hydrostatic Table'!A2:H38,2,TRUE)</f>
        <v>3695</v>
      </c>
      <c r="M28" s="14"/>
      <c r="N28" s="14"/>
      <c r="O28" s="14"/>
      <c r="P28" s="14"/>
      <c r="Q28" s="14">
        <f>SUM(Q22:Q27)</f>
        <v>9.8747295684278278</v>
      </c>
    </row>
    <row r="29" spans="1:17" x14ac:dyDescent="0.2">
      <c r="A29" s="8" t="s">
        <v>107</v>
      </c>
      <c r="B29" s="22">
        <f>IF(B28&gt;C28,(F10*F10*50*B21)/B10,0)</f>
        <v>0</v>
      </c>
      <c r="G29" s="182" t="s">
        <v>100</v>
      </c>
      <c r="H29" s="15"/>
      <c r="I29" s="15">
        <f>VLOOKUP(I27,'Hydrostatic Table'!A2:H38,5,TRUE)</f>
        <v>43.53</v>
      </c>
      <c r="J29" s="15">
        <f>VLOOKUP(J27,'Hydrostatic Table'!A2:H38,5,TRUE)</f>
        <v>43.48</v>
      </c>
      <c r="M29" s="14"/>
      <c r="N29" s="14"/>
      <c r="O29" s="96" t="s">
        <v>204</v>
      </c>
      <c r="P29" s="97">
        <f>(M24/12)*Q28</f>
        <v>0.14362211976092024</v>
      </c>
      <c r="Q29" s="14"/>
    </row>
    <row r="30" spans="1:17" x14ac:dyDescent="0.2">
      <c r="G30" s="183">
        <f>10*(H27*(J29-I29))+I29</f>
        <v>43.517251821249779</v>
      </c>
      <c r="H30" s="15"/>
      <c r="I30" s="15"/>
      <c r="J30" s="15"/>
    </row>
    <row r="31" spans="1:17" x14ac:dyDescent="0.2">
      <c r="A31" s="23" t="s">
        <v>108</v>
      </c>
      <c r="B31" s="24">
        <f>B16+B28+B29</f>
        <v>3683.5143743645467</v>
      </c>
      <c r="G31" s="181" t="s">
        <v>263</v>
      </c>
      <c r="H31" s="173">
        <f>G30-'DATA OUT'!G35</f>
        <v>34.364149478074211</v>
      </c>
    </row>
    <row r="32" spans="1:17" x14ac:dyDescent="0.2">
      <c r="M32" s="131"/>
      <c r="O32" s="14" t="s">
        <v>249</v>
      </c>
    </row>
    <row r="33" spans="1:15" x14ac:dyDescent="0.2">
      <c r="O33" s="132">
        <f>MAXA(B38:K38)</f>
        <v>0.85328247721127282</v>
      </c>
    </row>
    <row r="34" spans="1:15" x14ac:dyDescent="0.2">
      <c r="A34" s="25" t="s">
        <v>111</v>
      </c>
      <c r="B34" s="25">
        <f>'GZ CURVE'!C2</f>
        <v>0</v>
      </c>
      <c r="C34" s="25">
        <f>'GZ CURVE'!D2</f>
        <v>10</v>
      </c>
      <c r="D34" s="25">
        <f>'GZ CURVE'!E2</f>
        <v>20</v>
      </c>
      <c r="E34" s="25">
        <f>'GZ CURVE'!F2</f>
        <v>30</v>
      </c>
      <c r="F34" s="25">
        <f>'GZ CURVE'!G2</f>
        <v>40</v>
      </c>
      <c r="G34" s="25">
        <f>'GZ CURVE'!H2</f>
        <v>50</v>
      </c>
      <c r="H34" s="25">
        <f>'GZ CURVE'!I2</f>
        <v>60</v>
      </c>
      <c r="I34" s="25">
        <f>'GZ CURVE'!J2</f>
        <v>70</v>
      </c>
      <c r="J34" s="25">
        <f>'GZ CURVE'!K2</f>
        <v>80</v>
      </c>
      <c r="K34" s="25">
        <f>'GZ CURVE'!L2</f>
        <v>90</v>
      </c>
      <c r="O34" s="15" t="s">
        <v>250</v>
      </c>
    </row>
    <row r="35" spans="1:15" x14ac:dyDescent="0.2">
      <c r="A35" s="25" t="s">
        <v>112</v>
      </c>
      <c r="B35" s="25">
        <f>SIN(B34*PI()/180)</f>
        <v>0</v>
      </c>
      <c r="C35" s="25">
        <f>SIN(C34*PI()/180)</f>
        <v>0.17364817766693033</v>
      </c>
      <c r="D35" s="25">
        <f>SIN(D34*PI()/180)</f>
        <v>0.34202014332566871</v>
      </c>
      <c r="E35" s="25">
        <f t="shared" ref="E35:K35" si="0">SIN(E34*PI()/180)</f>
        <v>0.49999999999999994</v>
      </c>
      <c r="F35" s="25">
        <f t="shared" si="0"/>
        <v>0.64278760968653925</v>
      </c>
      <c r="G35" s="25">
        <f t="shared" si="0"/>
        <v>0.76604444311897801</v>
      </c>
      <c r="H35" s="25">
        <f t="shared" si="0"/>
        <v>0.8660254037844386</v>
      </c>
      <c r="I35" s="25">
        <f t="shared" si="0"/>
        <v>0.93969262078590832</v>
      </c>
      <c r="J35" s="25">
        <f t="shared" si="0"/>
        <v>0.98480775301220802</v>
      </c>
      <c r="K35" s="25">
        <f t="shared" si="0"/>
        <v>1</v>
      </c>
      <c r="O35" s="133">
        <f>IF(O33=B38,B34,IF(O33=C38,C34,IF(O33=D38,D34,IF(O33=E38,E34,IF(O33=F38,F34,IF(O33=G38,G34,IF(O33=H38,H34,IF(O33=I38,I34,0))))))))</f>
        <v>50</v>
      </c>
    </row>
    <row r="36" spans="1:15" x14ac:dyDescent="0.2">
      <c r="A36" s="25" t="s">
        <v>32</v>
      </c>
      <c r="B36" s="31">
        <f>'DATA OUT'!E35</f>
        <v>4.6951812719175408</v>
      </c>
      <c r="C36" s="31">
        <f>B36</f>
        <v>4.6951812719175408</v>
      </c>
      <c r="D36" s="31">
        <f t="shared" ref="D36:K36" si="1">C36</f>
        <v>4.6951812719175408</v>
      </c>
      <c r="E36" s="31">
        <f t="shared" si="1"/>
        <v>4.6951812719175408</v>
      </c>
      <c r="F36" s="31">
        <f t="shared" si="1"/>
        <v>4.6951812719175408</v>
      </c>
      <c r="G36" s="31">
        <f t="shared" si="1"/>
        <v>4.6951812719175408</v>
      </c>
      <c r="H36" s="31">
        <f t="shared" si="1"/>
        <v>4.6951812719175408</v>
      </c>
      <c r="I36" s="31">
        <f t="shared" si="1"/>
        <v>4.6951812719175408</v>
      </c>
      <c r="J36" s="31">
        <f t="shared" si="1"/>
        <v>4.6951812719175408</v>
      </c>
      <c r="K36" s="31">
        <f t="shared" si="1"/>
        <v>4.6951812719175408</v>
      </c>
    </row>
    <row r="37" spans="1:15" x14ac:dyDescent="0.2">
      <c r="A37" s="25" t="s">
        <v>113</v>
      </c>
      <c r="B37" s="25">
        <v>0</v>
      </c>
      <c r="C37" s="25">
        <f>VLOOKUP(D10,'KN TABLE'!A2:K38,3,TRUE)</f>
        <v>1.05</v>
      </c>
      <c r="D37" s="25">
        <f>VLOOKUP(D10,'KN TABLE'!A2:K38,4,TRUE)</f>
        <v>2.13</v>
      </c>
      <c r="E37" s="25">
        <f>VLOOKUP(D10,'KN TABLE'!A2:K38,5,TRUE)</f>
        <v>3.13</v>
      </c>
      <c r="F37" s="25">
        <f>VLOOKUP(D10,'KN TABLE'!A2:K38,6,TRUE)</f>
        <v>3.87</v>
      </c>
      <c r="G37" s="25">
        <f>VLOOKUP(D10,'KN TABLE'!A2:K38,7,TRUE)</f>
        <v>4.45</v>
      </c>
      <c r="H37" s="25">
        <f>VLOOKUP(D10,'KN TABLE'!A2:K38,8,TRUE)</f>
        <v>4.8499999999999996</v>
      </c>
      <c r="I37" s="25">
        <f>VLOOKUP(D10,'KN TABLE'!A2:K38,9,TRUE)</f>
        <v>4.99</v>
      </c>
      <c r="J37" s="25">
        <f>VLOOKUP(D10,'KN TABLE'!A2:K38,10,TRUE)</f>
        <v>4.92</v>
      </c>
      <c r="K37" s="25">
        <f>VLOOKUP(D10,'KN TABLE'!A2:K38,11,TRUE)</f>
        <v>4.67</v>
      </c>
    </row>
    <row r="38" spans="1:15" x14ac:dyDescent="0.2">
      <c r="A38" s="33" t="s">
        <v>52</v>
      </c>
      <c r="B38" s="32">
        <f>B37-(B36*B35)</f>
        <v>0</v>
      </c>
      <c r="C38" s="32">
        <f t="shared" ref="C38:K38" si="2">C37-(C36*C35)</f>
        <v>0.23469032831561898</v>
      </c>
      <c r="D38" s="32">
        <f t="shared" si="2"/>
        <v>0.524153428438767</v>
      </c>
      <c r="E38" s="32">
        <f t="shared" si="2"/>
        <v>0.78240936404122996</v>
      </c>
      <c r="F38" s="32">
        <f t="shared" si="2"/>
        <v>0.85199565317911885</v>
      </c>
      <c r="G38" s="32">
        <f t="shared" si="2"/>
        <v>0.85328247721127282</v>
      </c>
      <c r="H38" s="32">
        <f t="shared" si="2"/>
        <v>0.78385374314647738</v>
      </c>
      <c r="I38" s="32">
        <f t="shared" si="2"/>
        <v>0.57797280552689223</v>
      </c>
      <c r="J38" s="32">
        <f t="shared" si="2"/>
        <v>0.29614908161788556</v>
      </c>
      <c r="K38" s="32">
        <f t="shared" si="2"/>
        <v>-2.5181271917540826E-2</v>
      </c>
    </row>
    <row r="41" spans="1:15" x14ac:dyDescent="0.2">
      <c r="A41" s="51"/>
      <c r="B41" s="25" t="s">
        <v>161</v>
      </c>
      <c r="C41" s="25" t="s">
        <v>197</v>
      </c>
      <c r="D41" s="25" t="s">
        <v>99</v>
      </c>
      <c r="F41" s="25"/>
      <c r="G41" s="25" t="s">
        <v>162</v>
      </c>
      <c r="H41" s="25" t="s">
        <v>163</v>
      </c>
      <c r="I41" s="25" t="s">
        <v>99</v>
      </c>
    </row>
    <row r="42" spans="1:15" x14ac:dyDescent="0.2">
      <c r="A42" s="51" t="s">
        <v>31</v>
      </c>
      <c r="B42" s="31">
        <f>'DATA IN PUT'!B38</f>
        <v>60.2</v>
      </c>
      <c r="C42" s="31">
        <f>B42+3</f>
        <v>63.2</v>
      </c>
      <c r="D42" s="31">
        <f>B42-TRUNC(B42,0)</f>
        <v>0.20000000000000284</v>
      </c>
      <c r="F42" s="25" t="s">
        <v>164</v>
      </c>
      <c r="G42" s="31">
        <f>IF('DATA IN PUT'!B22="F",6.8,'DATA IN PUT'!B22)</f>
        <v>0</v>
      </c>
      <c r="H42" s="31">
        <f>G42+0.1</f>
        <v>0.1</v>
      </c>
      <c r="I42" s="31">
        <f>G42-TRUNC(G42,1)</f>
        <v>0</v>
      </c>
    </row>
    <row r="43" spans="1:15" x14ac:dyDescent="0.2">
      <c r="A43" s="52" t="s">
        <v>35</v>
      </c>
      <c r="B43" s="53">
        <f>VLOOKUP(B42,'Sounding table'!A3:F48,6,TRUE)</f>
        <v>0.2</v>
      </c>
      <c r="C43" s="53">
        <f>VLOOKUP(C42,'Sounding table'!A3:F48,6,TRUE)</f>
        <v>0.2</v>
      </c>
      <c r="D43" s="56">
        <f>IF(TRUNC(B42,0)=B42,B43,(D42*(C43-B43))+B43)</f>
        <v>0.2</v>
      </c>
      <c r="F43" s="53" t="s">
        <v>174</v>
      </c>
      <c r="G43" s="55">
        <f>VLOOKUP(G42,'Sounding table'!H3:M71,2,TRUE)</f>
        <v>9.7560975609756115E-2</v>
      </c>
      <c r="H43" s="55">
        <f>VLOOKUP(H42,'Sounding table'!H3:M71,2,TRUE)</f>
        <v>0.48780487804878053</v>
      </c>
      <c r="I43" s="56">
        <f>IF(TRUNC(G42,1)=G42,G43,(I42*(H43-G43))+G43)</f>
        <v>9.7560975609756115E-2</v>
      </c>
    </row>
    <row r="44" spans="1:15" x14ac:dyDescent="0.2">
      <c r="A44" s="52" t="s">
        <v>32</v>
      </c>
      <c r="B44" s="53">
        <f>VLOOKUP(B42,'Sounding table'!A3:F48,5,TRUE)</f>
        <v>1.56</v>
      </c>
      <c r="C44" s="53">
        <f>VLOOKUP(C42,'Sounding table'!A3:F48,5,TRUE)</f>
        <v>1.56</v>
      </c>
      <c r="D44" s="33">
        <f>IF(TRUNC(B42,0)=B42,B44,(D42*(C44-B44))+B44)</f>
        <v>1.56</v>
      </c>
      <c r="F44" s="53" t="s">
        <v>35</v>
      </c>
      <c r="G44" s="53">
        <f>VLOOKUP(G42,'Sounding table'!H3:M71,6,TRUE)</f>
        <v>0.1</v>
      </c>
      <c r="H44" s="53">
        <f>VLOOKUP(H42,'Sounding table'!H3:M71,6,TRUE)</f>
        <v>0.3</v>
      </c>
      <c r="I44" s="33">
        <f>IF(TRUNC(G42,1)=G42,G44,(I42*(H44-G44))+G44)</f>
        <v>0.1</v>
      </c>
    </row>
    <row r="45" spans="1:15" x14ac:dyDescent="0.2">
      <c r="A45" s="52" t="s">
        <v>34</v>
      </c>
      <c r="B45" s="53">
        <f>VLOOKUP(B42,'Sounding table'!A3:F48,4,TRUE)</f>
        <v>47.4</v>
      </c>
      <c r="C45" s="53">
        <f>VLOOKUP(C42,'Sounding table'!A3:F48,4,TRUE)</f>
        <v>47.4</v>
      </c>
      <c r="D45" s="33">
        <f>IF(TRUNC(B42,1)=B42,B45,(D42*(C45-B45))+B45)</f>
        <v>47.4</v>
      </c>
      <c r="F45" s="53" t="s">
        <v>32</v>
      </c>
      <c r="G45" s="53">
        <f>VLOOKUP(G42,'Sounding table'!H3:M71,5,TRUE)</f>
        <v>0.01</v>
      </c>
      <c r="H45" s="53">
        <f>VLOOKUP(H42,'Sounding table'!H3:M71,5,TRUE)</f>
        <v>7.0000000000000007E-2</v>
      </c>
      <c r="I45" s="33">
        <f>IF(TRUNC(G42,1)=G42,G45,(I42*(H45-G45))+G45)</f>
        <v>0.01</v>
      </c>
    </row>
    <row r="46" spans="1:15" x14ac:dyDescent="0.2">
      <c r="A46" s="52" t="s">
        <v>174</v>
      </c>
      <c r="B46" s="55">
        <f>VLOOKUP(B42,'Sounding table'!A3:F48,2,TRUE)</f>
        <v>59.389671361502351</v>
      </c>
      <c r="C46" s="201">
        <f>VLOOKUP(C42,'Sounding table'!A3:F48,2,TRUE)</f>
        <v>59.389671361502351</v>
      </c>
      <c r="D46" s="56">
        <f>IF(TRUNC(B43,1)=B43,B46,(D43*(C46-B46))+B46)</f>
        <v>59.389671361502351</v>
      </c>
      <c r="F46" s="53" t="s">
        <v>34</v>
      </c>
      <c r="G46" s="53">
        <f>VLOOKUP(G42,'Sounding table'!H3:M71,4,TRUE)</f>
        <v>80.84</v>
      </c>
      <c r="H46" s="53">
        <f>VLOOKUP(G42,'Sounding table'!H3:M71,4,TRUE)</f>
        <v>80.84</v>
      </c>
      <c r="I46" s="33">
        <f>IF(TRUNC(G42,1)=G42,G46,(I42*(H46-G46))+G46)</f>
        <v>80.84</v>
      </c>
    </row>
    <row r="48" spans="1:15" x14ac:dyDescent="0.2">
      <c r="A48" s="51"/>
      <c r="B48" s="51" t="s">
        <v>165</v>
      </c>
      <c r="C48" s="51" t="s">
        <v>166</v>
      </c>
      <c r="D48" s="25" t="s">
        <v>99</v>
      </c>
      <c r="F48" s="51"/>
      <c r="G48" s="51" t="s">
        <v>167</v>
      </c>
      <c r="H48" s="51" t="s">
        <v>168</v>
      </c>
      <c r="I48" s="25" t="s">
        <v>99</v>
      </c>
    </row>
    <row r="49" spans="1:9" x14ac:dyDescent="0.2">
      <c r="A49" s="51" t="s">
        <v>164</v>
      </c>
      <c r="B49" s="31">
        <f>IF('DATA IN PUT'!B23="F",3.4,'DATA IN PUT'!B23)</f>
        <v>0</v>
      </c>
      <c r="C49" s="54">
        <f>B49+0.1</f>
        <v>0.1</v>
      </c>
      <c r="D49" s="31">
        <f>B49-TRUNC(B49,1)</f>
        <v>0</v>
      </c>
      <c r="F49" s="51" t="s">
        <v>164</v>
      </c>
      <c r="G49" s="54">
        <f>IF('DATA IN PUT'!B24="F",2.1,'DATA IN PUT'!B24)</f>
        <v>0</v>
      </c>
      <c r="H49" s="54">
        <f>G49+0.1</f>
        <v>0.1</v>
      </c>
      <c r="I49" s="31">
        <f>G49-TRUNC(G49,1)</f>
        <v>0</v>
      </c>
    </row>
    <row r="50" spans="1:9" x14ac:dyDescent="0.2">
      <c r="A50" s="52" t="s">
        <v>174</v>
      </c>
      <c r="B50" s="57">
        <f>VLOOKUP(B49,'Sounding table'!O3:T36,2,TRUE)</f>
        <v>0</v>
      </c>
      <c r="C50" s="57">
        <f>VLOOKUP(C49,'Sounding table'!O3:T36,2,TRUE)</f>
        <v>0.19512195121951223</v>
      </c>
      <c r="D50" s="56">
        <f>IF(TRUNC(B49,1)=B49,B50,(D49*(C50-B50))+B50)</f>
        <v>0</v>
      </c>
      <c r="F50" s="52" t="s">
        <v>174</v>
      </c>
      <c r="G50" s="57">
        <f>VLOOKUP(G49,'Sounding table'!V3:AA23,2,TRUE)</f>
        <v>0.97560975609756106</v>
      </c>
      <c r="H50" s="57">
        <f>VLOOKUP(H49,'Sounding table'!V3:AA23,2,TRUE)</f>
        <v>5.6585365853658542</v>
      </c>
      <c r="I50" s="56">
        <f>IF(TRUNC(G49,1)=G49,G50,(I49*(H50-G50))+G50)</f>
        <v>0.97560975609756106</v>
      </c>
    </row>
    <row r="51" spans="1:9" x14ac:dyDescent="0.2">
      <c r="A51" s="52" t="s">
        <v>34</v>
      </c>
      <c r="B51" s="52">
        <f>VLOOKUP(B49,'Sounding table'!O3:T36,4,TRUE)</f>
        <v>72.599999999999994</v>
      </c>
      <c r="C51" s="52">
        <f>VLOOKUP(C49,'Sounding table'!O3:T33,4,TRUE)</f>
        <v>72.599999999999994</v>
      </c>
      <c r="D51" s="33">
        <f>IF(TRUNC(B49,1)=B49,B51,(D49*(C51-B51))+B51)</f>
        <v>72.599999999999994</v>
      </c>
      <c r="F51" s="52" t="s">
        <v>34</v>
      </c>
      <c r="G51" s="52">
        <f>VLOOKUP(G49,'Sounding table'!V3:AA23,4,TRUE)</f>
        <v>68.73</v>
      </c>
      <c r="H51" s="52">
        <f>VLOOKUP(H49,'Sounding table'!V3:AA23,4,TRUE)</f>
        <v>67.78</v>
      </c>
      <c r="I51" s="33">
        <f>IF(TRUNC(G49,1)=G49,G51,(I49*(H51-G51))+G51)</f>
        <v>68.73</v>
      </c>
    </row>
    <row r="52" spans="1:9" x14ac:dyDescent="0.2">
      <c r="A52" s="52" t="s">
        <v>32</v>
      </c>
      <c r="B52" s="52">
        <f>VLOOKUP(B49,'Sounding table'!O3:T36,5,TRUE)</f>
        <v>1.31</v>
      </c>
      <c r="C52" s="52">
        <f>VLOOKUP(C49,'Sounding table'!O3:T36,5,TRUE)</f>
        <v>1.36</v>
      </c>
      <c r="D52" s="33">
        <f>IF(TRUNC(B49,1)=B49,B52,(D49*(C52-B52))+B52)</f>
        <v>1.31</v>
      </c>
      <c r="F52" s="52" t="s">
        <v>32</v>
      </c>
      <c r="G52" s="52">
        <f>VLOOKUP(G49,'Sounding table'!V3:AA23,5,TRUE)</f>
        <v>0.01</v>
      </c>
      <c r="H52" s="52">
        <f>VLOOKUP(H49,'Sounding table'!V3:AA23,5,TRUE)</f>
        <v>0.06</v>
      </c>
      <c r="I52" s="33">
        <f>IF(TRUNC(G49,1)=G49,G52,(I49*(H52-G52))+G52)</f>
        <v>0.01</v>
      </c>
    </row>
    <row r="53" spans="1:9" x14ac:dyDescent="0.2">
      <c r="A53" s="52" t="s">
        <v>35</v>
      </c>
      <c r="B53" s="52">
        <f>VLOOKUP(B49,'Sounding table'!O3:T36,6,TRUE)</f>
        <v>0.5</v>
      </c>
      <c r="C53" s="52">
        <f>VLOOKUP(C49,'Sounding table'!O3:T36,6,TRUE)</f>
        <v>2</v>
      </c>
      <c r="D53" s="33">
        <f>IF(TRUNC(B49,1)=B49,B53,(D49*(C53-B53))+B53)</f>
        <v>0.5</v>
      </c>
      <c r="F53" s="52" t="s">
        <v>35</v>
      </c>
      <c r="G53" s="52">
        <f>VLOOKUP(G49,'Sounding table'!V3:AA23,6,TRUE)</f>
        <v>0.7</v>
      </c>
      <c r="H53" s="52">
        <f>VLOOKUP(H49,'Sounding table'!V3:AA23,6,TRUE)</f>
        <v>3.6</v>
      </c>
      <c r="I53" s="33">
        <f>IF(TRUNC(G49,1)=G49,G53,(I49*(H53-G53))+G53)</f>
        <v>0.7</v>
      </c>
    </row>
    <row r="55" spans="1:9" x14ac:dyDescent="0.2">
      <c r="A55" s="51"/>
      <c r="B55" s="51" t="s">
        <v>169</v>
      </c>
      <c r="C55" s="51" t="s">
        <v>170</v>
      </c>
      <c r="D55" s="25" t="s">
        <v>99</v>
      </c>
      <c r="F55" s="51"/>
      <c r="G55" s="51" t="s">
        <v>175</v>
      </c>
      <c r="H55" s="51" t="s">
        <v>176</v>
      </c>
      <c r="I55" s="25" t="s">
        <v>99</v>
      </c>
    </row>
    <row r="56" spans="1:9" x14ac:dyDescent="0.2">
      <c r="A56" s="51" t="s">
        <v>164</v>
      </c>
      <c r="B56" s="54">
        <f>IF('DATA IN PUT'!B25="F",2.1,'DATA IN PUT'!B25)</f>
        <v>0</v>
      </c>
      <c r="C56" s="54">
        <f>B56+0.1</f>
        <v>0.1</v>
      </c>
      <c r="D56" s="31">
        <f>B56-TRUNC(B56,1)</f>
        <v>0</v>
      </c>
      <c r="F56" s="51" t="s">
        <v>164</v>
      </c>
      <c r="G56" s="54">
        <f>IF('DATA IN PUT'!B26="F",1.5,'DATA IN PUT'!B26)</f>
        <v>0</v>
      </c>
      <c r="H56" s="54">
        <f>G56+0.1</f>
        <v>0.1</v>
      </c>
      <c r="I56" s="31">
        <f>G56-TRUNC(G56,1)</f>
        <v>0</v>
      </c>
    </row>
    <row r="57" spans="1:9" x14ac:dyDescent="0.2">
      <c r="A57" s="52" t="s">
        <v>174</v>
      </c>
      <c r="B57" s="57">
        <f>VLOOKUP(B56,'Sounding table'!V3:AA23,2,TRUE)</f>
        <v>0.97560975609756106</v>
      </c>
      <c r="C57" s="57">
        <f>VLOOKUP(C56,'Sounding table'!V3:AA23,2,TRUE)</f>
        <v>5.6585365853658542</v>
      </c>
      <c r="D57" s="56">
        <f>IF(TRUNC(B56,1)=B56,B57,(D56*(C57-B57))+B57)</f>
        <v>0.97560975609756106</v>
      </c>
      <c r="F57" s="52" t="s">
        <v>174</v>
      </c>
      <c r="G57" s="57">
        <f>VLOOKUP(G56,'Sounding table'!AC3:AH17,2,TRUE)</f>
        <v>1.3658536585365855</v>
      </c>
      <c r="H57" s="57">
        <f>VLOOKUP(H56,'Sounding table'!AC3:AH17,2,TRUE)</f>
        <v>7.51219512195122</v>
      </c>
      <c r="I57" s="56">
        <f>IF(TRUNC(G56,1)=G56,G57,(I56*(H57-G57))+G57)</f>
        <v>1.3658536585365855</v>
      </c>
    </row>
    <row r="58" spans="1:9" x14ac:dyDescent="0.2">
      <c r="A58" s="52" t="s">
        <v>34</v>
      </c>
      <c r="B58" s="52">
        <f>VLOOKUP(B56,'Sounding table'!V3:AA23,4,TRUE)</f>
        <v>68.73</v>
      </c>
      <c r="C58" s="52">
        <f>VLOOKUP(C56,'Sounding table'!V3:AA23,4,TRUE)</f>
        <v>67.78</v>
      </c>
      <c r="D58" s="33">
        <f>IF(TRUNC(B56,1)=B56,B58,(D56*(C58-B58))+B58)</f>
        <v>68.73</v>
      </c>
      <c r="F58" s="52" t="s">
        <v>34</v>
      </c>
      <c r="G58" s="52">
        <f>VLOOKUP(G56,'Sounding table'!AC3:AH17,4,TRUE)</f>
        <v>56.36</v>
      </c>
      <c r="H58" s="52">
        <f>VLOOKUP(H56,'Sounding table'!AC3:AH17,4,TRUE)</f>
        <v>56.36</v>
      </c>
      <c r="I58" s="33">
        <f>IF(TRUNC(G56,1)=G56,G58,(I56*(H58-G58))+G58)</f>
        <v>56.36</v>
      </c>
    </row>
    <row r="59" spans="1:9" x14ac:dyDescent="0.2">
      <c r="A59" s="52" t="s">
        <v>32</v>
      </c>
      <c r="B59" s="52">
        <f>VLOOKUP(B56,'Sounding table'!V3:AA23,5,TRUE)</f>
        <v>0.01</v>
      </c>
      <c r="C59" s="52">
        <f>VLOOKUP(C56,'Sounding table'!V3:AA23,5,TRUE)</f>
        <v>0.06</v>
      </c>
      <c r="D59" s="33">
        <f>IF(TRUNC(B56,1)=B56,B59,(D56*(C59-B59))+B59)</f>
        <v>0.01</v>
      </c>
      <c r="F59" s="52" t="s">
        <v>32</v>
      </c>
      <c r="G59" s="52">
        <f>VLOOKUP(G56,'Sounding table'!AC3:AH17,5,TRUE)</f>
        <v>0.01</v>
      </c>
      <c r="H59" s="52">
        <f>VLOOKUP(H56,'Sounding table'!AC3:AH17,5,TRUE)</f>
        <v>0.05</v>
      </c>
      <c r="I59" s="33">
        <f>IF(TRUNC(G56,1)=G56,G59,(I56*(H59-G59))+G59)</f>
        <v>0.01</v>
      </c>
    </row>
    <row r="60" spans="1:9" x14ac:dyDescent="0.2">
      <c r="A60" s="52" t="s">
        <v>35</v>
      </c>
      <c r="B60" s="52">
        <f>VLOOKUP(B56,'Sounding table'!V3:AA23,6,TRUE)</f>
        <v>0.7</v>
      </c>
      <c r="C60" s="52">
        <f>VLOOKUP(C56,'Sounding table'!V3:AA23,6,TRUE)</f>
        <v>3.6</v>
      </c>
      <c r="D60" s="33">
        <f>IF(TRUNC(B56,1)=B56,B60,(D56*(C60-B60))+B60)</f>
        <v>0.7</v>
      </c>
      <c r="F60" s="52" t="s">
        <v>35</v>
      </c>
      <c r="G60" s="52">
        <f>VLOOKUP(G56,'Sounding table'!AC3:AH17,6,TRUE)</f>
        <v>2.2999999999999998</v>
      </c>
      <c r="H60" s="52">
        <f>VLOOKUP(H56,'Sounding table'!AC3:AH17,6,TRUE)</f>
        <v>11.4</v>
      </c>
      <c r="I60" s="33">
        <f>IF(TRUNC(G56,1)=G56,G60,(I56*(H60-G60))+G60)</f>
        <v>2.2999999999999998</v>
      </c>
    </row>
    <row r="61" spans="1:9" x14ac:dyDescent="0.2">
      <c r="D61" s="60"/>
    </row>
    <row r="63" spans="1:9" x14ac:dyDescent="0.2">
      <c r="A63" s="51"/>
      <c r="B63" s="51" t="s">
        <v>177</v>
      </c>
      <c r="C63" s="51" t="s">
        <v>178</v>
      </c>
      <c r="D63" s="25" t="s">
        <v>99</v>
      </c>
      <c r="F63" s="51"/>
      <c r="G63" s="51" t="s">
        <v>179</v>
      </c>
      <c r="H63" s="51" t="s">
        <v>180</v>
      </c>
      <c r="I63" s="25" t="s">
        <v>99</v>
      </c>
    </row>
    <row r="64" spans="1:9" x14ac:dyDescent="0.2">
      <c r="A64" s="51" t="s">
        <v>164</v>
      </c>
      <c r="B64" s="54">
        <f>IF('DATA IN PUT'!B27="F",1.5,'DATA IN PUT'!B27)</f>
        <v>0</v>
      </c>
      <c r="C64" s="54">
        <f>B64+0.1</f>
        <v>0.1</v>
      </c>
      <c r="D64" s="31">
        <f>B64-TRUNC(B64,1)</f>
        <v>0</v>
      </c>
      <c r="F64" s="51" t="s">
        <v>164</v>
      </c>
      <c r="G64" s="54">
        <f>IF('DATA IN PUT'!B28="F",1.4,'DATA IN PUT'!B28)</f>
        <v>0.05</v>
      </c>
      <c r="H64" s="54">
        <f>G64+0.1</f>
        <v>0.15000000000000002</v>
      </c>
      <c r="I64" s="31">
        <f>G64-TRUNC(G64,1)</f>
        <v>0.05</v>
      </c>
    </row>
    <row r="65" spans="1:9" x14ac:dyDescent="0.2">
      <c r="A65" s="52" t="s">
        <v>174</v>
      </c>
      <c r="B65" s="57">
        <f>VLOOKUP(B64,'Sounding table'!AC3:AH17,2,TRUE)</f>
        <v>1.3658536585365855</v>
      </c>
      <c r="C65" s="57">
        <f>VLOOKUP(C64,'Sounding table'!AC3:AH17,2,TRUE)</f>
        <v>7.51219512195122</v>
      </c>
      <c r="D65" s="56">
        <f>IF(TRUNC(B64,1)=B64,B65,(D64*(C65-B65))+B65)</f>
        <v>1.3658536585365855</v>
      </c>
      <c r="F65" s="52" t="s">
        <v>174</v>
      </c>
      <c r="G65" s="57">
        <f>VLOOKUP(G64,'Sounding table'!AJ3:AO16,2,TRUE)</f>
        <v>0.97560975609756106</v>
      </c>
      <c r="H65" s="57">
        <f>VLOOKUP(H64,'Sounding table'!AJ3:AO16,2,TRUE)</f>
        <v>5.6585365853658542</v>
      </c>
      <c r="I65" s="56">
        <f>IF(TRUNC(G64,1)=G64,G65,(I64*(H65-G65))+G65)</f>
        <v>1.2097560975609758</v>
      </c>
    </row>
    <row r="66" spans="1:9" x14ac:dyDescent="0.2">
      <c r="A66" s="52" t="s">
        <v>34</v>
      </c>
      <c r="B66" s="52">
        <f>VLOOKUP(B64,'Sounding table'!AC3:AH17,4,TRUE)</f>
        <v>56.36</v>
      </c>
      <c r="C66" s="52">
        <f>VLOOKUP(C64,'Sounding table'!AC3:AH17,4,TRUE)</f>
        <v>56.36</v>
      </c>
      <c r="D66" s="33">
        <f>IF(TRUNC(B64,1)=B64,B66,(D64*(C66-B66))+B66)</f>
        <v>56.36</v>
      </c>
      <c r="F66" s="52" t="s">
        <v>34</v>
      </c>
      <c r="G66" s="52">
        <f>VLOOKUP(G64,'Sounding table'!AJ3:AO16,4,TRUE)</f>
        <v>25.78</v>
      </c>
      <c r="H66" s="52">
        <f>VLOOKUP(H64,'Sounding table'!AJ3:AO16,4,TRUE)</f>
        <v>25.77</v>
      </c>
      <c r="I66" s="33">
        <f>IF(TRUNC(G64,1)=G64,G66,(I64*(H66-G66))+G66)</f>
        <v>25.779500000000002</v>
      </c>
    </row>
    <row r="67" spans="1:9" x14ac:dyDescent="0.2">
      <c r="A67" s="52" t="s">
        <v>32</v>
      </c>
      <c r="B67" s="52">
        <f>VLOOKUP(B64,'Sounding table'!AC3:AH17,5,TRUE)</f>
        <v>0.01</v>
      </c>
      <c r="C67" s="52">
        <f>VLOOKUP(C64,'Sounding table'!AC3:AH17,5,TRUE)</f>
        <v>0.05</v>
      </c>
      <c r="D67" s="33">
        <f>IF(TRUNC(B64,1)=B64,B67,(D64*(C67-B67))+B67)</f>
        <v>0.01</v>
      </c>
      <c r="F67" s="52" t="s">
        <v>32</v>
      </c>
      <c r="G67" s="52">
        <f>VLOOKUP(G64,'Sounding table'!AJ3:AO16,5,TRUE)</f>
        <v>0.01</v>
      </c>
      <c r="H67" s="52">
        <f>VLOOKUP(H64,'Sounding table'!AJ3:AO16,5,TRUE)</f>
        <v>0.06</v>
      </c>
      <c r="I67" s="33">
        <f>IF(TRUNC(G64,1)=G64,G67,(I64*(H67-G67))+G67)</f>
        <v>1.2500000000000001E-2</v>
      </c>
    </row>
    <row r="68" spans="1:9" x14ac:dyDescent="0.2">
      <c r="A68" s="52" t="s">
        <v>35</v>
      </c>
      <c r="B68" s="52">
        <f>VLOOKUP(B64,'Sounding table'!AC3:AH17,6,TRUE)</f>
        <v>2.2999999999999998</v>
      </c>
      <c r="C68" s="52">
        <f>VLOOKUP(C64,'Sounding table'!AC3:AH17,6,TRUE)</f>
        <v>11.4</v>
      </c>
      <c r="D68" s="33">
        <f>IF(TRUNC(B64,1)=B64,B68,(D64*(C68-B68))+B68)</f>
        <v>2.2999999999999998</v>
      </c>
      <c r="F68" s="52" t="s">
        <v>35</v>
      </c>
      <c r="G68" s="52">
        <f>VLOOKUP(G64,'Sounding table'!AJ3:AO16,6,TRUE)</f>
        <v>1.5</v>
      </c>
      <c r="H68" s="52">
        <f>VLOOKUP(H64,'Sounding table'!AJ3:AO16,6,TRUE)</f>
        <v>7.6</v>
      </c>
      <c r="I68" s="33">
        <f>IF(TRUNC(G64,1)=G64,G68,(I64*(H68-G68))+G68)</f>
        <v>1.8049999999999999</v>
      </c>
    </row>
    <row r="71" spans="1:9" x14ac:dyDescent="0.2">
      <c r="A71" s="51"/>
      <c r="B71" s="51" t="s">
        <v>196</v>
      </c>
      <c r="C71" s="51" t="s">
        <v>198</v>
      </c>
      <c r="D71" s="25" t="s">
        <v>99</v>
      </c>
      <c r="F71" s="51"/>
      <c r="G71" s="51" t="s">
        <v>181</v>
      </c>
      <c r="H71" s="51" t="s">
        <v>182</v>
      </c>
      <c r="I71" s="25" t="s">
        <v>99</v>
      </c>
    </row>
    <row r="72" spans="1:9" x14ac:dyDescent="0.2">
      <c r="A72" s="51" t="s">
        <v>31</v>
      </c>
      <c r="B72" s="54">
        <f>'DATA IN PUT'!B37</f>
        <v>30</v>
      </c>
      <c r="C72" s="54">
        <f>B72+4</f>
        <v>34</v>
      </c>
      <c r="D72" s="31">
        <f>B72-B73</f>
        <v>0</v>
      </c>
      <c r="F72" s="51" t="s">
        <v>164</v>
      </c>
      <c r="G72" s="54">
        <f>IF('DATA IN PUT'!B29="F",1.4,'DATA IN PUT'!B29)</f>
        <v>0</v>
      </c>
      <c r="H72" s="54">
        <f>G72+0.1</f>
        <v>0.1</v>
      </c>
      <c r="I72" s="31">
        <f>G72-TRUNC(G72,1)</f>
        <v>0</v>
      </c>
    </row>
    <row r="73" spans="1:9" x14ac:dyDescent="0.2">
      <c r="A73" s="52" t="s">
        <v>174</v>
      </c>
      <c r="B73" s="57">
        <f>B72</f>
        <v>30</v>
      </c>
      <c r="C73" s="57">
        <f>C72</f>
        <v>34</v>
      </c>
      <c r="D73" s="56">
        <f>(D72*(C73-B73))+B73</f>
        <v>30</v>
      </c>
      <c r="F73" s="52" t="s">
        <v>174</v>
      </c>
      <c r="G73" s="57">
        <f>VLOOKUP(G72,'Sounding table'!AJ3:AO16,2,TRUE)</f>
        <v>0.97560975609756106</v>
      </c>
      <c r="H73" s="57">
        <f>VLOOKUP(H72,'Sounding table'!AJ3:AO16,2,TRUE)</f>
        <v>5.6585365853658542</v>
      </c>
      <c r="I73" s="56">
        <f>IF(TRUNC(G72,1)=G72,G73,(I72*(H73-G73))+G73)</f>
        <v>0.97560975609756106</v>
      </c>
    </row>
    <row r="74" spans="1:9" x14ac:dyDescent="0.2">
      <c r="A74" s="52" t="s">
        <v>34</v>
      </c>
      <c r="B74" s="52">
        <f>VLOOKUP(B72,'Sounding table'!BS3:BX27,4,TRUE)</f>
        <v>4.43</v>
      </c>
      <c r="C74" s="52">
        <f>VLOOKUP(C72,'Sounding table'!BS3:BX27,4,TRUE)</f>
        <v>4.38</v>
      </c>
      <c r="D74" s="33">
        <f>IF(TRUNC(B72,1)=B72,B74,(D72*(C74-B74))+B74)</f>
        <v>4.43</v>
      </c>
      <c r="F74" s="52" t="s">
        <v>34</v>
      </c>
      <c r="G74" s="52">
        <f>VLOOKUP(G72,'Sounding table'!AJ3:AO16,4,TRUE)</f>
        <v>25.78</v>
      </c>
      <c r="H74" s="52">
        <f>VLOOKUP(H72,'Sounding table'!AJ3:AO16,4,TRUE)</f>
        <v>25.77</v>
      </c>
      <c r="I74" s="33">
        <f>IF(TRUNC(G72,1)=G72,G74,(I72*(H74-G74))+G74)</f>
        <v>25.78</v>
      </c>
    </row>
    <row r="75" spans="1:9" x14ac:dyDescent="0.2">
      <c r="A75" s="52" t="s">
        <v>32</v>
      </c>
      <c r="B75" s="52">
        <f>VLOOKUP(B72,'Sounding table'!BS3:BX27,5,TRUE)</f>
        <v>3.23</v>
      </c>
      <c r="C75" s="52">
        <f>VLOOKUP(C72,'Sounding table'!BS3:BX27,5,TRUE)</f>
        <v>3.31</v>
      </c>
      <c r="D75" s="33">
        <f>IF(TRUNC(B72,1)=B72,B75,(D72*(C75-B75))+B75)</f>
        <v>3.23</v>
      </c>
      <c r="F75" s="52" t="s">
        <v>32</v>
      </c>
      <c r="G75" s="52">
        <f>VLOOKUP(G72,'Sounding table'!AJ3:AO16,5,TRUE)</f>
        <v>0.01</v>
      </c>
      <c r="H75" s="52">
        <f>VLOOKUP(H72,'Sounding table'!AJ3:AO16,5,TRUE)</f>
        <v>0.06</v>
      </c>
      <c r="I75" s="33">
        <f>IF(TRUNC(G72,1)=G72,G75,(I72*(H75-G75))+G75)</f>
        <v>0.01</v>
      </c>
    </row>
    <row r="76" spans="1:9" x14ac:dyDescent="0.2">
      <c r="A76" s="52" t="s">
        <v>35</v>
      </c>
      <c r="B76" s="52">
        <f>VLOOKUP(B72,'Sounding table'!BS3:BX27,6,TRUE)</f>
        <v>10</v>
      </c>
      <c r="C76" s="52">
        <f>VLOOKUP(C72,'Sounding table'!BS3:BX27,6,TRUE)</f>
        <v>11.6</v>
      </c>
      <c r="D76" s="33">
        <f>IF(TRUNC(B72,1)=B72,B76,(D72*(C76-B76))+B76)</f>
        <v>10</v>
      </c>
      <c r="F76" s="52" t="s">
        <v>35</v>
      </c>
      <c r="G76" s="52">
        <f>VLOOKUP(G72,'Sounding table'!AJ3:AO16,6,TRUE)</f>
        <v>1.5</v>
      </c>
      <c r="H76" s="52">
        <f>VLOOKUP(H72,'Sounding table'!AJ3:AO16,6,TRUE)</f>
        <v>7.6</v>
      </c>
      <c r="I76" s="33">
        <f>IF(TRUNC(G72,1)=G72,G76,(I72*(H76-G76))+G76)</f>
        <v>1.5</v>
      </c>
    </row>
    <row r="77" spans="1:9" x14ac:dyDescent="0.2">
      <c r="I77" s="33"/>
    </row>
    <row r="79" spans="1:9" x14ac:dyDescent="0.2">
      <c r="A79" s="51"/>
      <c r="B79" s="51" t="s">
        <v>183</v>
      </c>
      <c r="C79" s="51" t="s">
        <v>184</v>
      </c>
      <c r="D79" s="25" t="s">
        <v>99</v>
      </c>
      <c r="F79" s="51"/>
      <c r="G79" s="51" t="s">
        <v>187</v>
      </c>
      <c r="H79" s="51" t="s">
        <v>188</v>
      </c>
      <c r="I79" s="25" t="s">
        <v>99</v>
      </c>
    </row>
    <row r="80" spans="1:9" x14ac:dyDescent="0.2">
      <c r="A80" s="51" t="s">
        <v>164</v>
      </c>
      <c r="B80" s="54">
        <f>IF('DATA IN PUT'!B30="F",5.5,'DATA IN PUT'!B30)</f>
        <v>0</v>
      </c>
      <c r="C80" s="54">
        <f>B80+0.1</f>
        <v>0.1</v>
      </c>
      <c r="D80" s="31">
        <f>B80-TRUNC(B80,1)</f>
        <v>0</v>
      </c>
      <c r="F80" s="51" t="s">
        <v>164</v>
      </c>
      <c r="G80" s="54">
        <f>IF('DATA IN PUT'!B32="F",5.5,'DATA IN PUT'!B32)</f>
        <v>0</v>
      </c>
      <c r="H80" s="54">
        <f>G80+0.1</f>
        <v>0.1</v>
      </c>
      <c r="I80" s="31">
        <f>G80-TRUNC(G80,1)</f>
        <v>0</v>
      </c>
    </row>
    <row r="81" spans="1:9" x14ac:dyDescent="0.2">
      <c r="A81" s="52" t="s">
        <v>174</v>
      </c>
      <c r="B81" s="57">
        <f>VLOOKUP(B80,'Sounding table'!AQ3:AV57,2,TRUE)</f>
        <v>0.58536585365853666</v>
      </c>
      <c r="C81" s="57">
        <f>VLOOKUP(C80,'Sounding table'!AQ3:AV57,2,TRUE)</f>
        <v>3.51219512195122</v>
      </c>
      <c r="D81" s="56">
        <f>IF(TRUNC(B80,1)=B80,B81,(D80*(C81-B81))+B81)</f>
        <v>0.58536585365853666</v>
      </c>
      <c r="F81" s="52" t="s">
        <v>174</v>
      </c>
      <c r="G81" s="57">
        <f>VLOOKUP(G80,'Sounding table'!BE3:BJ57,2,TRUE)</f>
        <v>0.58536585365853666</v>
      </c>
      <c r="H81" s="57">
        <f>VLOOKUP(H80,'Sounding table'!BE3:BJ57,TRUE)</f>
        <v>0.1</v>
      </c>
      <c r="I81" s="56">
        <f>IF(TRUNC(G80,1)=G80,G81,(I80*(H81-G81))+G81)</f>
        <v>0.58536585365853666</v>
      </c>
    </row>
    <row r="82" spans="1:9" x14ac:dyDescent="0.2">
      <c r="A82" s="52" t="s">
        <v>34</v>
      </c>
      <c r="B82" s="52">
        <f>VLOOKUP(B80,'Sounding table'!AQ3:AV57,4,TRUE)</f>
        <v>59</v>
      </c>
      <c r="C82" s="52">
        <f>VLOOKUP(C80,'Sounding table'!AQ3:AV57,4,TRUE)</f>
        <v>59.2</v>
      </c>
      <c r="D82" s="33">
        <f>IF(TRUNC(B80,1)=B80,B82,(D80*(C82-B82))+B82)</f>
        <v>59</v>
      </c>
      <c r="F82" s="52" t="s">
        <v>34</v>
      </c>
      <c r="G82" s="52">
        <f>VLOOKUP(G80,'Sounding table'!BE3:BJ57,4,TRUE)</f>
        <v>40.200000000000003</v>
      </c>
      <c r="H82" s="52">
        <f>VLOOKUP(H80,'Sounding table'!BE3:BJ57,4,TRUE)</f>
        <v>40.200000000000003</v>
      </c>
      <c r="I82" s="33">
        <f>IF(TRUNC(G80,1)=G80,G82,(I80*(H82-G82))+G82)</f>
        <v>40.200000000000003</v>
      </c>
    </row>
    <row r="83" spans="1:9" x14ac:dyDescent="0.2">
      <c r="A83" s="52" t="s">
        <v>32</v>
      </c>
      <c r="B83" s="52">
        <f>VLOOKUP(B80,'Sounding table'!AQ3:AV57,5,TRUE)</f>
        <v>1.3</v>
      </c>
      <c r="C83" s="52">
        <f>VLOOKUP(C80,'Sounding table'!AQ3:AV57,5,TRUE)</f>
        <v>1.35</v>
      </c>
      <c r="D83" s="33">
        <f>IF(TRUNC(B80,1)=B80,B83,(D80*(C83-B83))+B83)</f>
        <v>1.3</v>
      </c>
      <c r="F83" s="52" t="s">
        <v>32</v>
      </c>
      <c r="G83" s="52">
        <f>VLOOKUP(G80,'Sounding table'!BE3:BJ57,5,TRUE)</f>
        <v>1.3</v>
      </c>
      <c r="H83" s="52">
        <f>VLOOKUP(H80,'Sounding table'!BE3:BJ57,5,TRUE)</f>
        <v>1.35</v>
      </c>
      <c r="I83" s="33">
        <f>IF(TRUNC(G80,1)=G80,G83,(I80*(H83-G83))+G83)</f>
        <v>1.3</v>
      </c>
    </row>
    <row r="84" spans="1:9" x14ac:dyDescent="0.2">
      <c r="A84" s="52" t="s">
        <v>35</v>
      </c>
      <c r="B84" s="52">
        <f>VLOOKUP(B80,'Sounding table'!AQ3:AV57,6,TRUE)</f>
        <v>4.3</v>
      </c>
      <c r="C84" s="52">
        <f>VLOOKUP(C80,'Sounding table'!AQ3:AV57,6,TRUE)</f>
        <v>6.7</v>
      </c>
      <c r="D84" s="33">
        <f>IF(TRUNC(B80,1)=B80,B84,(D80*(C84-B84))+B84)</f>
        <v>4.3</v>
      </c>
      <c r="F84" s="52" t="s">
        <v>35</v>
      </c>
      <c r="G84" s="52">
        <f>VLOOKUP(G80,'Sounding table'!BE3:BJ57,6,TRUE)</f>
        <v>6.7</v>
      </c>
      <c r="H84" s="52">
        <f>VLOOKUP(H80,'Sounding table'!BE3:BJ57,6,TRUE)</f>
        <v>6.7</v>
      </c>
      <c r="I84" s="33">
        <f>IF(TRUNC(G80,1)=G80,G84,(I80*(H84-G84))+G84)</f>
        <v>6.7</v>
      </c>
    </row>
    <row r="87" spans="1:9" x14ac:dyDescent="0.2">
      <c r="A87" s="51"/>
      <c r="B87" s="51" t="s">
        <v>185</v>
      </c>
      <c r="C87" s="51" t="s">
        <v>186</v>
      </c>
      <c r="D87" s="25" t="s">
        <v>99</v>
      </c>
      <c r="F87" s="51"/>
      <c r="G87" s="51" t="s">
        <v>189</v>
      </c>
      <c r="H87" s="51" t="s">
        <v>190</v>
      </c>
      <c r="I87" s="25" t="s">
        <v>99</v>
      </c>
    </row>
    <row r="88" spans="1:9" x14ac:dyDescent="0.2">
      <c r="A88" s="51" t="s">
        <v>164</v>
      </c>
      <c r="B88" s="54">
        <f>IF('DATA IN PUT'!B31="F",5.5,'DATA IN PUT'!B31)</f>
        <v>0.23</v>
      </c>
      <c r="C88" s="54">
        <f>B88+0.1</f>
        <v>0.33</v>
      </c>
      <c r="D88" s="31">
        <f>B88-TRUNC(B88,1)</f>
        <v>0.03</v>
      </c>
      <c r="F88" s="51" t="s">
        <v>164</v>
      </c>
      <c r="G88" s="54">
        <f>IF('DATA IN PUT'!B33="F",5.5,'DATA IN PUT'!B33)</f>
        <v>0</v>
      </c>
      <c r="H88" s="54">
        <f>G88+0.1</f>
        <v>0.1</v>
      </c>
      <c r="I88" s="31">
        <f>G88-TRUNC(G88,1)</f>
        <v>0</v>
      </c>
    </row>
    <row r="89" spans="1:9" x14ac:dyDescent="0.2">
      <c r="A89" s="52" t="s">
        <v>174</v>
      </c>
      <c r="B89" s="57">
        <f>VLOOKUP(B88,'Sounding table'!AQ3:AV57,2,TRUE)</f>
        <v>6.536585365853659</v>
      </c>
      <c r="C89" s="57">
        <f>VLOOKUP(C88,'Sounding table'!AQ3:AV57,2,TRUE)</f>
        <v>9.5609756097560989</v>
      </c>
      <c r="D89" s="56">
        <f>IF(TRUNC(B88,1)=B88,B89,(D88*(C89-B89))+B89)</f>
        <v>6.6273170731707323</v>
      </c>
      <c r="F89" s="52" t="s">
        <v>174</v>
      </c>
      <c r="G89" s="57">
        <f>VLOOKUP(G88,'Sounding table'!AX3:BC57,2,TRUE)</f>
        <v>0.48780487804878053</v>
      </c>
      <c r="H89" s="57">
        <f>VLOOKUP(H88,'Sounding table'!AX3:BC57,2,TRUE)</f>
        <v>2.7317073170731709</v>
      </c>
      <c r="I89" s="56">
        <f>IF(TRUNC(G88,1)=G88,G89,(I88*(H89-G89))+G89)</f>
        <v>0.48780487804878053</v>
      </c>
    </row>
    <row r="90" spans="1:9" x14ac:dyDescent="0.2">
      <c r="A90" s="52" t="s">
        <v>34</v>
      </c>
      <c r="B90" s="52">
        <f>VLOOKUP(B88,'Sounding table'!AQ3:AV57,4,TRUE)</f>
        <v>59.6</v>
      </c>
      <c r="C90" s="52">
        <f>VLOOKUP(C88,'Sounding table'!AQ3:AV57,4,TRUE)</f>
        <v>59.11</v>
      </c>
      <c r="D90" s="33">
        <f>IF(TRUNC(B88,1)=B88,B90,(D88*(C90-B90))+B90)</f>
        <v>59.585300000000004</v>
      </c>
      <c r="F90" s="52" t="s">
        <v>34</v>
      </c>
      <c r="G90" s="52">
        <f>VLOOKUP(G88,'Sounding table'!AX3:BC57,4,TRUE)</f>
        <v>37.799999999999997</v>
      </c>
      <c r="H90" s="52">
        <f>VLOOKUP(H88,'Sounding table'!AX3:BC57,4,TRUE)</f>
        <v>37.799999999999997</v>
      </c>
      <c r="I90" s="33">
        <f>IF(TRUNC(G88,1)=G88,G90,(I88*(H90-G90))+G90)</f>
        <v>37.799999999999997</v>
      </c>
    </row>
    <row r="91" spans="1:9" x14ac:dyDescent="0.2">
      <c r="A91" s="52" t="s">
        <v>32</v>
      </c>
      <c r="B91" s="52">
        <f>VLOOKUP(B88,'Sounding table'!AQ3:AV57,5,TRUE)</f>
        <v>1.4</v>
      </c>
      <c r="C91" s="52">
        <f>VLOOKUP(C88,'Sounding table'!AQ3:AV57,5,TRUE)</f>
        <v>1.45</v>
      </c>
      <c r="D91" s="33">
        <f>IF(TRUNC(B88,1)=B88,B91,(D88*(C91-B91))+B91)</f>
        <v>1.4015</v>
      </c>
      <c r="F91" s="52" t="s">
        <v>32</v>
      </c>
      <c r="G91" s="52">
        <f>VLOOKUP(G88,'Sounding table'!AX3:BC57,5,TRUE)</f>
        <v>1.3</v>
      </c>
      <c r="H91" s="52">
        <f>VLOOKUP(H88,'Sounding table'!AX3:BC57,5,TRUE)</f>
        <v>1.35</v>
      </c>
      <c r="I91" s="33">
        <f>IF(TRUNC(G88,1)=G88,G91,(I88*(H91-G91))+G91)</f>
        <v>1.3</v>
      </c>
    </row>
    <row r="92" spans="1:9" x14ac:dyDescent="0.2">
      <c r="A92" s="52" t="s">
        <v>35</v>
      </c>
      <c r="B92" s="52">
        <f>VLOOKUP(B88,'Sounding table'!AQ3:AV57,6,TRUE)</f>
        <v>6.7</v>
      </c>
      <c r="C92" s="52">
        <f>VLOOKUP(C88,'Sounding table'!AQ3:AV57,6,TRUE)</f>
        <v>6.7</v>
      </c>
      <c r="D92" s="33">
        <f>IF(TRUNC(B88,1)=B88,B92,(D88*(C92-B92))+B92)</f>
        <v>6.7</v>
      </c>
      <c r="F92" s="52" t="s">
        <v>35</v>
      </c>
      <c r="G92" s="52">
        <f>VLOOKUP(G88,'Sounding table'!AX3:BC57,6,TRUE)</f>
        <v>0.2</v>
      </c>
      <c r="H92" s="52">
        <f>VLOOKUP(H88,'Sounding table'!AX3:BC57,6,TRUE)</f>
        <v>1.3</v>
      </c>
      <c r="I92" s="33">
        <f>IF(TRUNC(G88,1)=G88,G92,(I88*(H92-G92))+G92)</f>
        <v>0.2</v>
      </c>
    </row>
    <row r="95" spans="1:9" x14ac:dyDescent="0.2">
      <c r="A95" s="51"/>
      <c r="B95" s="51" t="s">
        <v>192</v>
      </c>
      <c r="C95" s="51" t="s">
        <v>193</v>
      </c>
      <c r="D95" s="25" t="s">
        <v>99</v>
      </c>
    </row>
    <row r="96" spans="1:9" x14ac:dyDescent="0.2">
      <c r="A96" s="51" t="s">
        <v>164</v>
      </c>
      <c r="B96" s="54">
        <f>IF('DATA IN PUT'!B34="F",5.5,'DATA IN PUT'!B34)</f>
        <v>1.5</v>
      </c>
      <c r="C96" s="54">
        <f>B96+0.1</f>
        <v>1.6</v>
      </c>
      <c r="D96" s="31">
        <f>B96-TRUNC(B96,1)</f>
        <v>0</v>
      </c>
    </row>
    <row r="97" spans="1:4" x14ac:dyDescent="0.2">
      <c r="A97" s="52" t="s">
        <v>174</v>
      </c>
      <c r="B97" s="57">
        <f>VLOOKUP(B96,'Sounding table'!BL3:BQ57,2,TRUE)</f>
        <v>22.439024390243905</v>
      </c>
      <c r="C97" s="57">
        <f>VLOOKUP(C96,'Sounding table'!BL3:BQ57,2,TRUE)</f>
        <v>24.000000000000004</v>
      </c>
      <c r="D97" s="56">
        <f>IF(TRUNC(B96,1)=B96,B97,(D96*(C97-B97))+B97)</f>
        <v>22.439024390243905</v>
      </c>
    </row>
    <row r="98" spans="1:4" x14ac:dyDescent="0.2">
      <c r="A98" s="52" t="s">
        <v>34</v>
      </c>
      <c r="B98" s="52">
        <f>VLOOKUP(B96,'Sounding table'!BL3:BQ57,4,TRUE)</f>
        <v>25.6</v>
      </c>
      <c r="C98" s="52">
        <f>VLOOKUP(C96,'Sounding table'!BL3:BQ57,4,TRUE)</f>
        <v>25.59</v>
      </c>
      <c r="D98" s="33">
        <f>IF(TRUNC(B96,1)=B96,B98,(D96*(C98-B98))+B98)</f>
        <v>25.6</v>
      </c>
    </row>
    <row r="99" spans="1:4" x14ac:dyDescent="0.2">
      <c r="A99" s="52" t="s">
        <v>32</v>
      </c>
      <c r="B99" s="52">
        <f>VLOOKUP(B96,'Sounding table'!BL3:BQ57,5,TRUE)</f>
        <v>2.0099999999999998</v>
      </c>
      <c r="C99" s="52">
        <f>VLOOKUP(C96,'Sounding table'!BL3:BQ57,5,TRUE)</f>
        <v>2.06</v>
      </c>
      <c r="D99" s="33">
        <f>IF(TRUNC(B96,1)=B96,B99,(D96*(C99-B99))+B99)</f>
        <v>2.0099999999999998</v>
      </c>
    </row>
    <row r="100" spans="1:4" x14ac:dyDescent="0.2">
      <c r="A100" s="52" t="s">
        <v>35</v>
      </c>
      <c r="B100" s="52">
        <f>VLOOKUP(B96,'Sounding table'!BL3:BQ57,6,TRUE)</f>
        <v>3.6</v>
      </c>
      <c r="C100" s="52">
        <f>VLOOKUP(C96,'Sounding table'!BL3:BQ57,6,TRUE)</f>
        <v>3.6</v>
      </c>
      <c r="D100" s="33">
        <f>IF(TRUNC(B96,1)=B96,B100,(D96*(C100-B100))+B100)</f>
        <v>3.6</v>
      </c>
    </row>
    <row r="103" spans="1:4" x14ac:dyDescent="0.2">
      <c r="A103" s="51"/>
      <c r="B103" s="51" t="s">
        <v>194</v>
      </c>
      <c r="C103" s="51" t="s">
        <v>195</v>
      </c>
      <c r="D103" s="25" t="s">
        <v>99</v>
      </c>
    </row>
    <row r="104" spans="1:4" x14ac:dyDescent="0.2">
      <c r="A104" s="51" t="s">
        <v>164</v>
      </c>
      <c r="B104" s="54">
        <f>IF('DATA IN PUT'!B35="F",5.5,'DATA IN PUT'!B35)</f>
        <v>0</v>
      </c>
      <c r="C104" s="54">
        <f>B104+0.1</f>
        <v>0.1</v>
      </c>
      <c r="D104" s="31">
        <f>B104-TRUNC(B104,1)</f>
        <v>0</v>
      </c>
    </row>
    <row r="105" spans="1:4" x14ac:dyDescent="0.2">
      <c r="A105" s="52" t="s">
        <v>174</v>
      </c>
      <c r="B105" s="57">
        <f>VLOOKUP(B104,'Sounding table'!BL3:BQ57,2,TRUE)</f>
        <v>0.29268292682926833</v>
      </c>
      <c r="C105" s="57">
        <f>VLOOKUP(C104,'Sounding table'!BL3:BQ57,2,TRUE)</f>
        <v>1.8536585365853659</v>
      </c>
      <c r="D105" s="56">
        <f>IF(TRUNC(B104,1)=B104,B105,(D104*(C105-B105))+B105)</f>
        <v>0.29268292682926833</v>
      </c>
    </row>
    <row r="106" spans="1:4" x14ac:dyDescent="0.2">
      <c r="A106" s="52" t="s">
        <v>34</v>
      </c>
      <c r="B106" s="52">
        <f>VLOOKUP(B104,'Sounding table'!BL3:BQ57,4,TRUE)</f>
        <v>25.68</v>
      </c>
      <c r="C106" s="52">
        <f>VLOOKUP(C104,'Sounding table'!BL3:BQ57,4,TRUE)</f>
        <v>25.67</v>
      </c>
      <c r="D106" s="33">
        <f>IF(TRUNC(B104,1)=B104,B106,(D104*(C106-B106))+B106)</f>
        <v>25.68</v>
      </c>
    </row>
    <row r="107" spans="1:4" x14ac:dyDescent="0.2">
      <c r="A107" s="52" t="s">
        <v>32</v>
      </c>
      <c r="B107" s="52">
        <f>VLOOKUP(B104,'Sounding table'!BL3:BQ57,5,TRUE)</f>
        <v>1.3</v>
      </c>
      <c r="C107" s="52">
        <f>VLOOKUP(C104,'Sounding table'!BL3:BQ57,5,TRUE)</f>
        <v>1.35</v>
      </c>
      <c r="D107" s="33">
        <f>IF(TRUNC(B104,1)=B104,B107,(D104*(C107-B107))+B107)</f>
        <v>1.3</v>
      </c>
    </row>
    <row r="108" spans="1:4" x14ac:dyDescent="0.2">
      <c r="A108" s="52" t="s">
        <v>35</v>
      </c>
      <c r="B108" s="52">
        <f>VLOOKUP(B104,'Sounding table'!BL3:BQ57,6,TRUE)</f>
        <v>3.6</v>
      </c>
      <c r="C108" s="52">
        <f>VLOOKUP(C104,'Sounding table'!BL3:BQ57,6,TRUE)</f>
        <v>3.6</v>
      </c>
      <c r="D108" s="33">
        <f>IF(TRUNC(B104,1)=B104,B108,(D104*(C108-B108))+B108)</f>
        <v>3.6</v>
      </c>
    </row>
  </sheetData>
  <sheetProtection password="CEC6" sheet="1" objects="1" scenarios="1"/>
  <mergeCells count="20">
    <mergeCell ref="A25:A26"/>
    <mergeCell ref="B25:B26"/>
    <mergeCell ref="C7:C8"/>
    <mergeCell ref="D7:D8"/>
    <mergeCell ref="E3:E4"/>
    <mergeCell ref="E5:E6"/>
    <mergeCell ref="E7:E8"/>
    <mergeCell ref="C3:C4"/>
    <mergeCell ref="D3:D4"/>
    <mergeCell ref="C5:C6"/>
    <mergeCell ref="D5:D6"/>
    <mergeCell ref="H3:H4"/>
    <mergeCell ref="H5:H6"/>
    <mergeCell ref="H7:H8"/>
    <mergeCell ref="F3:F4"/>
    <mergeCell ref="F5:F6"/>
    <mergeCell ref="F7:F8"/>
    <mergeCell ref="G3:G4"/>
    <mergeCell ref="G5:G6"/>
    <mergeCell ref="G7:G8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10"/>
  </sheetPr>
  <dimension ref="A1:BX91"/>
  <sheetViews>
    <sheetView topLeftCell="AE1" workbookViewId="0">
      <pane ySplit="2" topLeftCell="A3" activePane="bottomLeft" state="frozen"/>
      <selection activeCell="I40" sqref="I40:K40"/>
      <selection pane="bottomLeft" activeCell="AJ1" sqref="AJ1:AO21"/>
    </sheetView>
  </sheetViews>
  <sheetFormatPr defaultRowHeight="12.75" customHeight="1" x14ac:dyDescent="0.2"/>
  <cols>
    <col min="1" max="2" width="9.140625" style="27"/>
    <col min="3" max="3" width="7.5703125" style="29" customWidth="1"/>
    <col min="4" max="4" width="7.28515625" style="29" customWidth="1"/>
    <col min="5" max="5" width="7.28515625" style="27" customWidth="1"/>
    <col min="6" max="6" width="7.28515625" style="29" customWidth="1"/>
    <col min="7" max="9" width="9.140625" style="27"/>
    <col min="10" max="10" width="8.28515625" style="27" customWidth="1"/>
    <col min="11" max="65" width="9.140625" style="27"/>
    <col min="66" max="66" width="9.140625" style="29"/>
    <col min="67" max="16384" width="9.140625" style="27"/>
  </cols>
  <sheetData>
    <row r="1" spans="1:76" ht="14.25" customHeight="1" x14ac:dyDescent="0.2">
      <c r="A1" s="338" t="s">
        <v>110</v>
      </c>
      <c r="B1" s="338"/>
      <c r="C1" s="338"/>
      <c r="D1" s="338"/>
      <c r="E1" s="338"/>
      <c r="F1" s="338"/>
      <c r="H1" s="338" t="s">
        <v>130</v>
      </c>
      <c r="I1" s="338"/>
      <c r="J1" s="338"/>
      <c r="K1" s="338"/>
      <c r="L1" s="338"/>
      <c r="M1" s="338"/>
      <c r="O1" s="338" t="s">
        <v>4</v>
      </c>
      <c r="P1" s="338"/>
      <c r="Q1" s="338"/>
      <c r="R1" s="338"/>
      <c r="S1" s="338"/>
      <c r="T1" s="338"/>
      <c r="V1" s="338" t="s">
        <v>136</v>
      </c>
      <c r="W1" s="338"/>
      <c r="X1" s="338"/>
      <c r="Y1" s="338"/>
      <c r="Z1" s="338"/>
      <c r="AA1" s="338"/>
      <c r="AC1" s="338" t="s">
        <v>137</v>
      </c>
      <c r="AD1" s="338"/>
      <c r="AE1" s="338"/>
      <c r="AF1" s="338"/>
      <c r="AG1" s="338"/>
      <c r="AH1" s="338"/>
      <c r="AJ1" s="338" t="s">
        <v>138</v>
      </c>
      <c r="AK1" s="338"/>
      <c r="AL1" s="338"/>
      <c r="AM1" s="338"/>
      <c r="AN1" s="338"/>
      <c r="AO1" s="338"/>
      <c r="AQ1" s="338" t="s">
        <v>139</v>
      </c>
      <c r="AR1" s="338"/>
      <c r="AS1" s="338"/>
      <c r="AT1" s="338"/>
      <c r="AU1" s="338"/>
      <c r="AV1" s="338"/>
      <c r="AX1" s="338" t="s">
        <v>134</v>
      </c>
      <c r="AY1" s="338"/>
      <c r="AZ1" s="338"/>
      <c r="BA1" s="338"/>
      <c r="BB1" s="338"/>
      <c r="BC1" s="338"/>
      <c r="BE1" s="338" t="s">
        <v>133</v>
      </c>
      <c r="BF1" s="338"/>
      <c r="BG1" s="338"/>
      <c r="BH1" s="338"/>
      <c r="BI1" s="338"/>
      <c r="BJ1" s="338"/>
      <c r="BL1" s="338" t="s">
        <v>135</v>
      </c>
      <c r="BM1" s="338"/>
      <c r="BN1" s="338"/>
      <c r="BO1" s="338"/>
      <c r="BP1" s="338"/>
      <c r="BQ1" s="338"/>
      <c r="BS1" s="338" t="s">
        <v>140</v>
      </c>
      <c r="BT1" s="338"/>
      <c r="BU1" s="338"/>
      <c r="BV1" s="338"/>
      <c r="BW1" s="338"/>
      <c r="BX1" s="338"/>
    </row>
    <row r="2" spans="1:76" ht="12.75" customHeight="1" x14ac:dyDescent="0.2">
      <c r="A2" s="29" t="s">
        <v>160</v>
      </c>
      <c r="B2" s="26" t="s">
        <v>142</v>
      </c>
      <c r="C2" s="29" t="s">
        <v>159</v>
      </c>
      <c r="D2" s="29" t="s">
        <v>144</v>
      </c>
      <c r="E2" s="27" t="s">
        <v>145</v>
      </c>
      <c r="F2" s="29" t="s">
        <v>146</v>
      </c>
      <c r="G2" s="50"/>
      <c r="H2" s="26" t="s">
        <v>109</v>
      </c>
      <c r="I2" s="26" t="s">
        <v>142</v>
      </c>
      <c r="J2" s="29" t="s">
        <v>143</v>
      </c>
      <c r="K2" s="29" t="s">
        <v>144</v>
      </c>
      <c r="L2" s="27" t="s">
        <v>145</v>
      </c>
      <c r="M2" s="29" t="s">
        <v>146</v>
      </c>
      <c r="O2" s="26" t="s">
        <v>109</v>
      </c>
      <c r="P2" s="26" t="s">
        <v>142</v>
      </c>
      <c r="Q2" s="29" t="s">
        <v>143</v>
      </c>
      <c r="R2" s="29" t="s">
        <v>144</v>
      </c>
      <c r="S2" s="27" t="s">
        <v>145</v>
      </c>
      <c r="T2" s="29" t="s">
        <v>146</v>
      </c>
      <c r="V2" s="26" t="s">
        <v>109</v>
      </c>
      <c r="W2" s="26" t="s">
        <v>142</v>
      </c>
      <c r="X2" s="29" t="s">
        <v>143</v>
      </c>
      <c r="Y2" s="29" t="s">
        <v>144</v>
      </c>
      <c r="Z2" s="27" t="s">
        <v>145</v>
      </c>
      <c r="AA2" s="29" t="s">
        <v>146</v>
      </c>
      <c r="AC2" s="26" t="s">
        <v>109</v>
      </c>
      <c r="AD2" s="26" t="s">
        <v>142</v>
      </c>
      <c r="AE2" s="29" t="s">
        <v>143</v>
      </c>
      <c r="AF2" s="29" t="s">
        <v>144</v>
      </c>
      <c r="AG2" s="27" t="s">
        <v>145</v>
      </c>
      <c r="AH2" s="29" t="s">
        <v>146</v>
      </c>
      <c r="AJ2" s="26" t="s">
        <v>109</v>
      </c>
      <c r="AK2" s="26" t="s">
        <v>142</v>
      </c>
      <c r="AL2" s="29" t="s">
        <v>143</v>
      </c>
      <c r="AM2" s="29" t="s">
        <v>144</v>
      </c>
      <c r="AN2" s="27" t="s">
        <v>145</v>
      </c>
      <c r="AO2" s="29" t="s">
        <v>146</v>
      </c>
      <c r="AQ2" s="26" t="s">
        <v>109</v>
      </c>
      <c r="AR2" s="26" t="s">
        <v>141</v>
      </c>
      <c r="AS2" s="29" t="s">
        <v>131</v>
      </c>
      <c r="AT2" s="29" t="s">
        <v>132</v>
      </c>
      <c r="AU2" s="27" t="s">
        <v>128</v>
      </c>
      <c r="AV2" s="29" t="s">
        <v>129</v>
      </c>
      <c r="AX2" s="26" t="s">
        <v>109</v>
      </c>
      <c r="AY2" s="26" t="s">
        <v>142</v>
      </c>
      <c r="AZ2" s="29" t="s">
        <v>143</v>
      </c>
      <c r="BA2" s="29" t="s">
        <v>144</v>
      </c>
      <c r="BB2" s="27" t="s">
        <v>145</v>
      </c>
      <c r="BC2" s="29" t="s">
        <v>146</v>
      </c>
      <c r="BE2" s="26" t="s">
        <v>109</v>
      </c>
      <c r="BF2" s="26" t="s">
        <v>142</v>
      </c>
      <c r="BG2" s="29" t="s">
        <v>143</v>
      </c>
      <c r="BH2" s="29" t="s">
        <v>144</v>
      </c>
      <c r="BI2" s="27" t="s">
        <v>145</v>
      </c>
      <c r="BJ2" s="29" t="s">
        <v>146</v>
      </c>
      <c r="BL2" s="26" t="s">
        <v>109</v>
      </c>
      <c r="BM2" s="26" t="s">
        <v>141</v>
      </c>
      <c r="BN2" s="29" t="s">
        <v>131</v>
      </c>
      <c r="BO2" s="29" t="s">
        <v>132</v>
      </c>
      <c r="BP2" s="27" t="s">
        <v>128</v>
      </c>
      <c r="BQ2" s="29" t="s">
        <v>129</v>
      </c>
      <c r="BS2" s="29" t="s">
        <v>160</v>
      </c>
      <c r="BT2" s="26" t="s">
        <v>142</v>
      </c>
      <c r="BU2" s="27" t="s">
        <v>159</v>
      </c>
      <c r="BV2" s="29" t="s">
        <v>144</v>
      </c>
      <c r="BW2" s="27" t="s">
        <v>145</v>
      </c>
      <c r="BX2" s="29" t="s">
        <v>146</v>
      </c>
    </row>
    <row r="3" spans="1:76" ht="12.75" customHeight="1" x14ac:dyDescent="0.2">
      <c r="A3" s="29">
        <v>0.4</v>
      </c>
      <c r="B3" s="27">
        <f t="shared" ref="B3:B48" si="0">A3/0.852</f>
        <v>0.46948356807511743</v>
      </c>
      <c r="C3" s="29">
        <v>0</v>
      </c>
      <c r="D3" s="29">
        <v>47.4</v>
      </c>
      <c r="E3" s="27">
        <v>0.02</v>
      </c>
      <c r="F3" s="29">
        <v>0.7</v>
      </c>
      <c r="H3" s="27">
        <v>0</v>
      </c>
      <c r="I3" s="27">
        <f>J3/1.025</f>
        <v>9.7560975609756115E-2</v>
      </c>
      <c r="J3" s="27">
        <v>0.1</v>
      </c>
      <c r="K3" s="27">
        <v>80.84</v>
      </c>
      <c r="L3" s="27">
        <v>0.01</v>
      </c>
      <c r="M3" s="27">
        <v>0.1</v>
      </c>
      <c r="O3" s="27">
        <v>0</v>
      </c>
      <c r="P3" s="27">
        <f>Q3/1.025</f>
        <v>0</v>
      </c>
      <c r="Q3" s="27">
        <v>0</v>
      </c>
      <c r="R3" s="27">
        <v>72.599999999999994</v>
      </c>
      <c r="S3" s="27">
        <v>1.31</v>
      </c>
      <c r="T3" s="27">
        <v>0.5</v>
      </c>
      <c r="V3" s="27">
        <v>0</v>
      </c>
      <c r="W3" s="27">
        <f>X3/1.025</f>
        <v>0.97560975609756106</v>
      </c>
      <c r="X3" s="27">
        <v>1</v>
      </c>
      <c r="Y3" s="27">
        <v>68.73</v>
      </c>
      <c r="Z3" s="27">
        <v>0.01</v>
      </c>
      <c r="AA3" s="27">
        <v>0.7</v>
      </c>
      <c r="AC3" s="27">
        <v>0</v>
      </c>
      <c r="AD3" s="27">
        <f>AE3/1.025</f>
        <v>1.3658536585365855</v>
      </c>
      <c r="AE3" s="27">
        <v>1.4</v>
      </c>
      <c r="AF3" s="27">
        <v>56.36</v>
      </c>
      <c r="AG3" s="27">
        <v>0.01</v>
      </c>
      <c r="AH3" s="27">
        <v>2.2999999999999998</v>
      </c>
      <c r="AJ3" s="27">
        <v>0</v>
      </c>
      <c r="AK3" s="27">
        <f>AL3/1.025</f>
        <v>0.97560975609756106</v>
      </c>
      <c r="AL3" s="27">
        <v>1</v>
      </c>
      <c r="AM3" s="27">
        <v>25.78</v>
      </c>
      <c r="AN3" s="27">
        <v>0.01</v>
      </c>
      <c r="AO3" s="27">
        <v>1.5</v>
      </c>
      <c r="AQ3" s="27">
        <v>0</v>
      </c>
      <c r="AR3" s="27">
        <f>AS3/1.025</f>
        <v>0.58536585365853666</v>
      </c>
      <c r="AS3" s="27">
        <v>0.6</v>
      </c>
      <c r="AT3" s="27">
        <v>59</v>
      </c>
      <c r="AU3" s="27">
        <v>1.3</v>
      </c>
      <c r="AV3" s="27">
        <v>4.3</v>
      </c>
      <c r="AX3" s="27">
        <v>0</v>
      </c>
      <c r="AY3" s="27">
        <f>AZ3/1.025</f>
        <v>0.48780487804878053</v>
      </c>
      <c r="AZ3" s="27">
        <v>0.5</v>
      </c>
      <c r="BA3" s="27">
        <v>37.799999999999997</v>
      </c>
      <c r="BB3" s="27">
        <v>1.3</v>
      </c>
      <c r="BC3" s="27">
        <v>0.2</v>
      </c>
      <c r="BE3" s="27">
        <v>0</v>
      </c>
      <c r="BF3" s="27">
        <f>BG3/1.025</f>
        <v>0.58536585365853666</v>
      </c>
      <c r="BG3" s="27">
        <v>0.6</v>
      </c>
      <c r="BH3" s="27">
        <v>40.200000000000003</v>
      </c>
      <c r="BI3" s="27">
        <v>1.3</v>
      </c>
      <c r="BJ3" s="27">
        <v>6.7</v>
      </c>
      <c r="BL3" s="27">
        <v>0</v>
      </c>
      <c r="BM3" s="27">
        <f>BN3/1.025</f>
        <v>0.29268292682926833</v>
      </c>
      <c r="BN3" s="29">
        <v>0.3</v>
      </c>
      <c r="BO3" s="27">
        <v>25.68</v>
      </c>
      <c r="BP3" s="27">
        <v>1.3</v>
      </c>
      <c r="BQ3" s="27">
        <v>3.6</v>
      </c>
      <c r="BS3" s="27">
        <v>0</v>
      </c>
      <c r="BT3" s="27">
        <f t="shared" ref="BT3:BT28" si="1">BS3</f>
        <v>0</v>
      </c>
      <c r="BU3" s="27">
        <v>0</v>
      </c>
      <c r="BV3" s="27">
        <v>4.95</v>
      </c>
      <c r="BW3" s="27">
        <v>2</v>
      </c>
      <c r="BX3" s="27">
        <v>0</v>
      </c>
    </row>
    <row r="4" spans="1:76" ht="12.75" customHeight="1" x14ac:dyDescent="0.2">
      <c r="A4" s="29">
        <v>2.5</v>
      </c>
      <c r="B4" s="27">
        <f t="shared" si="0"/>
        <v>2.9342723004694835</v>
      </c>
      <c r="C4" s="29">
        <f>C3+0.1</f>
        <v>0.1</v>
      </c>
      <c r="D4" s="29">
        <v>47.4</v>
      </c>
      <c r="E4" s="27">
        <v>0.06</v>
      </c>
      <c r="F4" s="29">
        <v>3.7</v>
      </c>
      <c r="H4" s="27">
        <f>H3+0.1</f>
        <v>0.1</v>
      </c>
      <c r="I4" s="27">
        <f t="shared" ref="I4:I67" si="2">J4/1.025</f>
        <v>0.48780487804878053</v>
      </c>
      <c r="J4" s="27">
        <v>0.5</v>
      </c>
      <c r="K4" s="27">
        <v>80.86</v>
      </c>
      <c r="L4" s="27">
        <v>7.0000000000000007E-2</v>
      </c>
      <c r="M4" s="27">
        <v>0.3</v>
      </c>
      <c r="O4" s="27">
        <f>O3+0.1</f>
        <v>0.1</v>
      </c>
      <c r="P4" s="27">
        <f t="shared" ref="P4:P36" si="3">Q4/1.025</f>
        <v>0.19512195121951223</v>
      </c>
      <c r="Q4" s="27">
        <v>0.2</v>
      </c>
      <c r="R4" s="27">
        <v>72.599999999999994</v>
      </c>
      <c r="S4" s="27">
        <v>1.36</v>
      </c>
      <c r="T4" s="27">
        <v>2</v>
      </c>
      <c r="V4" s="27">
        <f>V3+0.1</f>
        <v>0.1</v>
      </c>
      <c r="W4" s="27">
        <f t="shared" ref="W4:W23" si="4">X4/1.025</f>
        <v>5.6585365853658542</v>
      </c>
      <c r="X4" s="27">
        <v>5.8</v>
      </c>
      <c r="Y4" s="27">
        <v>67.78</v>
      </c>
      <c r="Z4" s="27">
        <v>0.06</v>
      </c>
      <c r="AA4" s="27">
        <v>3.6</v>
      </c>
      <c r="AC4" s="27">
        <f>AC3+0.1</f>
        <v>0.1</v>
      </c>
      <c r="AD4" s="27">
        <f t="shared" ref="AD4:AD17" si="5">AE4/1.025</f>
        <v>7.51219512195122</v>
      </c>
      <c r="AE4" s="27">
        <v>7.7</v>
      </c>
      <c r="AF4" s="27">
        <v>56.36</v>
      </c>
      <c r="AG4" s="27">
        <v>0.05</v>
      </c>
      <c r="AH4" s="27">
        <v>11.4</v>
      </c>
      <c r="AJ4" s="27">
        <f>AJ3+0.1</f>
        <v>0.1</v>
      </c>
      <c r="AK4" s="27">
        <f t="shared" ref="AK4:AK16" si="6">AL4/1.025</f>
        <v>5.6585365853658542</v>
      </c>
      <c r="AL4" s="27">
        <v>5.8</v>
      </c>
      <c r="AM4" s="27">
        <v>25.77</v>
      </c>
      <c r="AN4" s="27">
        <v>0.06</v>
      </c>
      <c r="AO4" s="27">
        <v>7.6</v>
      </c>
      <c r="AQ4" s="27">
        <f>AQ3+0.1</f>
        <v>0.1</v>
      </c>
      <c r="AR4" s="27">
        <f t="shared" ref="AR4:AR57" si="7">AS4/1.025</f>
        <v>3.51219512195122</v>
      </c>
      <c r="AS4" s="27">
        <v>3.6</v>
      </c>
      <c r="AT4" s="27">
        <v>59.2</v>
      </c>
      <c r="AU4" s="27">
        <v>1.35</v>
      </c>
      <c r="AV4" s="27">
        <v>6.7</v>
      </c>
      <c r="AX4" s="27">
        <f>AX3+0.1</f>
        <v>0.1</v>
      </c>
      <c r="AY4" s="27">
        <f t="shared" ref="AY4:AY57" si="8">AZ4/1.025</f>
        <v>2.7317073170731709</v>
      </c>
      <c r="AZ4" s="27">
        <v>2.8</v>
      </c>
      <c r="BA4" s="27">
        <v>37.799999999999997</v>
      </c>
      <c r="BB4" s="27">
        <v>1.35</v>
      </c>
      <c r="BC4" s="27">
        <v>1.3</v>
      </c>
      <c r="BE4" s="27">
        <f>BE3+0.1</f>
        <v>0.1</v>
      </c>
      <c r="BF4" s="27">
        <f t="shared" ref="BF4:BF57" si="9">BG4/1.025</f>
        <v>3.6097560975609762</v>
      </c>
      <c r="BG4" s="27">
        <v>3.7</v>
      </c>
      <c r="BH4" s="27">
        <v>40.200000000000003</v>
      </c>
      <c r="BI4" s="27">
        <v>1.35</v>
      </c>
      <c r="BJ4" s="27">
        <v>6.7</v>
      </c>
      <c r="BL4" s="27">
        <f>BL3+0.1</f>
        <v>0.1</v>
      </c>
      <c r="BM4" s="27">
        <f t="shared" ref="BM4:BM57" si="10">BN4/1.025</f>
        <v>1.8536585365853659</v>
      </c>
      <c r="BN4" s="29">
        <v>1.9</v>
      </c>
      <c r="BO4" s="27">
        <v>25.67</v>
      </c>
      <c r="BP4" s="27">
        <v>1.35</v>
      </c>
      <c r="BQ4" s="27">
        <v>3.6</v>
      </c>
      <c r="BS4" s="27">
        <v>0.5</v>
      </c>
      <c r="BT4" s="27">
        <f t="shared" si="1"/>
        <v>0.5</v>
      </c>
      <c r="BU4" s="27">
        <f>BU3+0.1</f>
        <v>0.1</v>
      </c>
      <c r="BV4" s="27">
        <v>4.9400000000000004</v>
      </c>
      <c r="BW4" s="27">
        <v>2.0499999999999998</v>
      </c>
      <c r="BX4" s="27">
        <v>0.1</v>
      </c>
    </row>
    <row r="5" spans="1:76" ht="12.75" customHeight="1" x14ac:dyDescent="0.2">
      <c r="A5" s="29">
        <v>4.5999999999999996</v>
      </c>
      <c r="B5" s="27">
        <f t="shared" si="0"/>
        <v>5.3990610328638491</v>
      </c>
      <c r="C5" s="29">
        <f t="shared" ref="C5:C48" si="11">C4+0.1</f>
        <v>0.2</v>
      </c>
      <c r="D5" s="29">
        <v>47.4</v>
      </c>
      <c r="E5" s="27">
        <v>0.11</v>
      </c>
      <c r="F5" s="29">
        <v>5.8</v>
      </c>
      <c r="H5" s="27">
        <f t="shared" ref="H5:H69" si="12">H4+0.1</f>
        <v>0.2</v>
      </c>
      <c r="I5" s="27">
        <f t="shared" si="2"/>
        <v>1.0731707317073174</v>
      </c>
      <c r="J5" s="27">
        <v>1.1000000000000001</v>
      </c>
      <c r="K5" s="27">
        <v>80.88</v>
      </c>
      <c r="L5" s="27">
        <v>0.13</v>
      </c>
      <c r="M5" s="27">
        <v>0.6</v>
      </c>
      <c r="O5" s="27">
        <f t="shared" ref="O5:O36" si="13">O4+0.1</f>
        <v>0.2</v>
      </c>
      <c r="P5" s="27">
        <f t="shared" si="3"/>
        <v>0.39024390243902446</v>
      </c>
      <c r="Q5" s="27">
        <v>0.4</v>
      </c>
      <c r="R5" s="27">
        <v>72.599999999999994</v>
      </c>
      <c r="S5" s="27">
        <v>1.4</v>
      </c>
      <c r="T5" s="27">
        <v>2.4</v>
      </c>
      <c r="V5" s="27">
        <f t="shared" ref="V5:V23" si="14">V4+0.1</f>
        <v>0.2</v>
      </c>
      <c r="W5" s="27">
        <f t="shared" si="4"/>
        <v>10.536585365853661</v>
      </c>
      <c r="X5" s="27">
        <v>10.8</v>
      </c>
      <c r="Y5" s="27">
        <v>68.400000000000006</v>
      </c>
      <c r="Z5" s="27">
        <v>0.11</v>
      </c>
      <c r="AA5" s="27">
        <v>5.8</v>
      </c>
      <c r="AC5" s="27">
        <f t="shared" ref="AC5:AC15" si="15">AC4+0.1</f>
        <v>0.2</v>
      </c>
      <c r="AD5" s="27">
        <f t="shared" si="5"/>
        <v>13.951219512195124</v>
      </c>
      <c r="AE5" s="27">
        <v>14.3</v>
      </c>
      <c r="AF5" s="27">
        <v>56.36</v>
      </c>
      <c r="AG5" s="27">
        <v>0.1</v>
      </c>
      <c r="AH5" s="27">
        <v>18.2</v>
      </c>
      <c r="AJ5" s="27">
        <f t="shared" ref="AJ5:AJ16" si="16">AJ4+0.1</f>
        <v>0.2</v>
      </c>
      <c r="AK5" s="27">
        <f t="shared" si="6"/>
        <v>10.634146341463415</v>
      </c>
      <c r="AL5" s="27">
        <v>10.9</v>
      </c>
      <c r="AM5" s="27">
        <v>25.76</v>
      </c>
      <c r="AN5" s="27">
        <v>0.11</v>
      </c>
      <c r="AO5" s="27">
        <v>12.1</v>
      </c>
      <c r="AQ5" s="27">
        <f t="shared" ref="AQ5:AQ57" si="17">AQ4+0.1</f>
        <v>0.2</v>
      </c>
      <c r="AR5" s="27">
        <f t="shared" si="7"/>
        <v>6.536585365853659</v>
      </c>
      <c r="AS5" s="27">
        <v>6.7</v>
      </c>
      <c r="AT5" s="27">
        <v>59.6</v>
      </c>
      <c r="AU5" s="27">
        <v>1.4</v>
      </c>
      <c r="AV5" s="27">
        <v>6.7</v>
      </c>
      <c r="AX5" s="27">
        <f t="shared" ref="AX5:AX57" si="18">AX4+0.1</f>
        <v>0.2</v>
      </c>
      <c r="AY5" s="27">
        <f t="shared" si="8"/>
        <v>4.975609756097561</v>
      </c>
      <c r="AZ5" s="27">
        <v>5.0999999999999996</v>
      </c>
      <c r="BA5" s="27">
        <v>37.799999999999997</v>
      </c>
      <c r="BB5" s="27">
        <v>1.4</v>
      </c>
      <c r="BC5" s="27">
        <v>2.2999999999999998</v>
      </c>
      <c r="BE5" s="27">
        <f t="shared" ref="BE5:BE57" si="19">BE4+0.1</f>
        <v>0.2</v>
      </c>
      <c r="BF5" s="27">
        <f t="shared" si="9"/>
        <v>6.6341463414634152</v>
      </c>
      <c r="BG5" s="27">
        <v>6.8</v>
      </c>
      <c r="BH5" s="27">
        <v>40.200000000000003</v>
      </c>
      <c r="BI5" s="27">
        <v>1.4</v>
      </c>
      <c r="BJ5" s="27">
        <v>6.7</v>
      </c>
      <c r="BL5" s="27">
        <f t="shared" ref="BL5:BL57" si="20">BL4+0.1</f>
        <v>0.2</v>
      </c>
      <c r="BM5" s="27">
        <f t="shared" si="10"/>
        <v>3.4146341463414638</v>
      </c>
      <c r="BN5" s="29">
        <v>3.5</v>
      </c>
      <c r="BO5" s="27">
        <v>25.66</v>
      </c>
      <c r="BP5" s="27">
        <v>1.4</v>
      </c>
      <c r="BQ5" s="27">
        <v>3.6</v>
      </c>
      <c r="BS5" s="27">
        <v>1</v>
      </c>
      <c r="BT5" s="27">
        <f t="shared" si="1"/>
        <v>1</v>
      </c>
      <c r="BU5" s="27">
        <f t="shared" ref="BU5:BU28" si="21">BU4+0.1</f>
        <v>0.2</v>
      </c>
      <c r="BV5" s="27">
        <v>4.92</v>
      </c>
      <c r="BW5" s="27">
        <v>2.1</v>
      </c>
      <c r="BX5" s="27">
        <v>0.2</v>
      </c>
    </row>
    <row r="6" spans="1:76" ht="12.75" customHeight="1" x14ac:dyDescent="0.2">
      <c r="A6" s="29">
        <v>6.7</v>
      </c>
      <c r="B6" s="27">
        <f t="shared" si="0"/>
        <v>7.863849765258216</v>
      </c>
      <c r="C6" s="29">
        <f t="shared" si="11"/>
        <v>0.30000000000000004</v>
      </c>
      <c r="D6" s="29">
        <v>47.4</v>
      </c>
      <c r="E6" s="27">
        <v>0.16</v>
      </c>
      <c r="F6" s="29">
        <v>7.2</v>
      </c>
      <c r="H6" s="27">
        <f t="shared" si="12"/>
        <v>0.30000000000000004</v>
      </c>
      <c r="I6" s="27">
        <f t="shared" si="2"/>
        <v>1.75609756097561</v>
      </c>
      <c r="J6" s="27">
        <v>1.8</v>
      </c>
      <c r="K6" s="27">
        <v>80.900000000000006</v>
      </c>
      <c r="L6" s="27">
        <v>0.19</v>
      </c>
      <c r="M6" s="27">
        <v>0.9</v>
      </c>
      <c r="O6" s="27">
        <f t="shared" si="13"/>
        <v>0.30000000000000004</v>
      </c>
      <c r="P6" s="27">
        <f t="shared" si="3"/>
        <v>0.68292682926829273</v>
      </c>
      <c r="Q6" s="27">
        <v>0.7</v>
      </c>
      <c r="R6" s="27">
        <v>72.680000000000007</v>
      </c>
      <c r="S6" s="27">
        <v>1.47</v>
      </c>
      <c r="T6" s="27">
        <v>5.6</v>
      </c>
      <c r="V6" s="27">
        <f t="shared" si="14"/>
        <v>0.30000000000000004</v>
      </c>
      <c r="W6" s="27">
        <f t="shared" si="4"/>
        <v>15.804878048780488</v>
      </c>
      <c r="X6" s="27">
        <v>16.2</v>
      </c>
      <c r="Y6" s="27">
        <v>68.89</v>
      </c>
      <c r="Z6" s="27">
        <v>0.16</v>
      </c>
      <c r="AA6" s="27">
        <v>7.3</v>
      </c>
      <c r="AC6" s="27">
        <f t="shared" si="15"/>
        <v>0.30000000000000004</v>
      </c>
      <c r="AD6" s="27">
        <f t="shared" si="5"/>
        <v>20.487804878048781</v>
      </c>
      <c r="AE6" s="27">
        <v>21</v>
      </c>
      <c r="AF6" s="27">
        <v>56.36</v>
      </c>
      <c r="AG6" s="27">
        <v>0.15</v>
      </c>
      <c r="AH6" s="27">
        <v>22.7</v>
      </c>
      <c r="AJ6" s="27">
        <f t="shared" si="16"/>
        <v>0.30000000000000004</v>
      </c>
      <c r="AK6" s="27">
        <f t="shared" si="6"/>
        <v>15.804878048780488</v>
      </c>
      <c r="AL6" s="27">
        <v>16.2</v>
      </c>
      <c r="AM6" s="27">
        <v>25.75</v>
      </c>
      <c r="AN6" s="27">
        <v>0.16</v>
      </c>
      <c r="AO6" s="27">
        <v>14.9</v>
      </c>
      <c r="AQ6" s="27">
        <f t="shared" si="17"/>
        <v>0.30000000000000004</v>
      </c>
      <c r="AR6" s="27">
        <f t="shared" si="7"/>
        <v>9.5609756097560989</v>
      </c>
      <c r="AS6" s="27">
        <v>9.8000000000000007</v>
      </c>
      <c r="AT6" s="27">
        <v>59.11</v>
      </c>
      <c r="AU6" s="27">
        <v>1.45</v>
      </c>
      <c r="AV6" s="27">
        <v>6.7</v>
      </c>
      <c r="AX6" s="27">
        <f t="shared" si="18"/>
        <v>0.30000000000000004</v>
      </c>
      <c r="AY6" s="27">
        <f t="shared" si="8"/>
        <v>7.3170731707317076</v>
      </c>
      <c r="AZ6" s="27">
        <v>7.5</v>
      </c>
      <c r="BA6" s="27">
        <v>37.799999999999997</v>
      </c>
      <c r="BB6" s="27">
        <v>1.45</v>
      </c>
      <c r="BC6" s="27">
        <v>3.2</v>
      </c>
      <c r="BE6" s="27">
        <f t="shared" si="19"/>
        <v>0.30000000000000004</v>
      </c>
      <c r="BF6" s="27">
        <f t="shared" si="9"/>
        <v>9.7560975609756113</v>
      </c>
      <c r="BG6" s="27">
        <v>10</v>
      </c>
      <c r="BH6" s="27">
        <v>40.200000000000003</v>
      </c>
      <c r="BI6" s="27">
        <v>1.45</v>
      </c>
      <c r="BJ6" s="202">
        <v>6.7</v>
      </c>
      <c r="BL6" s="27">
        <f t="shared" si="20"/>
        <v>0.30000000000000004</v>
      </c>
      <c r="BM6" s="27">
        <f t="shared" si="10"/>
        <v>4.975609756097561</v>
      </c>
      <c r="BN6" s="29">
        <v>5.0999999999999996</v>
      </c>
      <c r="BO6" s="27">
        <v>25.66</v>
      </c>
      <c r="BP6" s="27">
        <v>1.45</v>
      </c>
      <c r="BQ6" s="27">
        <v>3.6</v>
      </c>
      <c r="BS6" s="27">
        <v>1.7</v>
      </c>
      <c r="BT6" s="27">
        <f t="shared" si="1"/>
        <v>1.7</v>
      </c>
      <c r="BU6" s="27">
        <f t="shared" si="21"/>
        <v>0.30000000000000004</v>
      </c>
      <c r="BV6" s="27">
        <v>4.9000000000000004</v>
      </c>
      <c r="BW6" s="27">
        <v>2.16</v>
      </c>
      <c r="BX6" s="27">
        <v>0.3</v>
      </c>
    </row>
    <row r="7" spans="1:76" ht="12.75" customHeight="1" x14ac:dyDescent="0.2">
      <c r="A7" s="29">
        <v>9</v>
      </c>
      <c r="B7" s="27">
        <f t="shared" si="0"/>
        <v>10.563380281690142</v>
      </c>
      <c r="C7" s="29">
        <f t="shared" si="11"/>
        <v>0.4</v>
      </c>
      <c r="D7" s="29">
        <v>47.4</v>
      </c>
      <c r="E7" s="27">
        <v>0.21</v>
      </c>
      <c r="F7" s="29">
        <v>7.7</v>
      </c>
      <c r="H7" s="27">
        <f t="shared" si="12"/>
        <v>0.4</v>
      </c>
      <c r="I7" s="27">
        <f t="shared" si="2"/>
        <v>2.4390243902439028</v>
      </c>
      <c r="J7" s="27">
        <v>2.5</v>
      </c>
      <c r="K7" s="27">
        <v>80.92</v>
      </c>
      <c r="L7" s="27">
        <v>0.25</v>
      </c>
      <c r="M7" s="27">
        <v>1.2</v>
      </c>
      <c r="O7" s="27">
        <f t="shared" si="13"/>
        <v>0.4</v>
      </c>
      <c r="P7" s="27">
        <f t="shared" si="3"/>
        <v>1.2682926829268295</v>
      </c>
      <c r="Q7" s="27">
        <v>1.3</v>
      </c>
      <c r="R7" s="27">
        <v>72.83</v>
      </c>
      <c r="S7" s="27">
        <v>1.55</v>
      </c>
      <c r="T7" s="27">
        <v>10.8</v>
      </c>
      <c r="V7" s="27">
        <f t="shared" si="14"/>
        <v>0.4</v>
      </c>
      <c r="W7" s="27">
        <f t="shared" si="4"/>
        <v>21.26829268292683</v>
      </c>
      <c r="X7" s="27">
        <v>21.8</v>
      </c>
      <c r="Y7" s="27">
        <v>68.94</v>
      </c>
      <c r="Z7" s="27">
        <v>0.21</v>
      </c>
      <c r="AA7" s="27">
        <v>8.1</v>
      </c>
      <c r="AC7" s="27">
        <f t="shared" si="15"/>
        <v>0.4</v>
      </c>
      <c r="AD7" s="27">
        <f t="shared" si="5"/>
        <v>27.121951219512198</v>
      </c>
      <c r="AE7" s="27">
        <v>27.8</v>
      </c>
      <c r="AF7" s="27">
        <v>56.36</v>
      </c>
      <c r="AG7" s="27">
        <v>0.2</v>
      </c>
      <c r="AH7" s="27">
        <v>24.9</v>
      </c>
      <c r="AJ7" s="27">
        <f t="shared" si="16"/>
        <v>0.4</v>
      </c>
      <c r="AK7" s="27">
        <f t="shared" si="6"/>
        <v>21.073170731707322</v>
      </c>
      <c r="AL7" s="27">
        <v>21.6</v>
      </c>
      <c r="AM7" s="27">
        <v>25.74</v>
      </c>
      <c r="AN7" s="27">
        <v>0.22</v>
      </c>
      <c r="AO7" s="27">
        <v>16.100000000000001</v>
      </c>
      <c r="AQ7" s="27">
        <f t="shared" si="17"/>
        <v>0.4</v>
      </c>
      <c r="AR7" s="27">
        <f t="shared" si="7"/>
        <v>12.585365853658539</v>
      </c>
      <c r="AS7" s="27">
        <v>12.9</v>
      </c>
      <c r="AT7" s="27">
        <v>59.15</v>
      </c>
      <c r="AU7" s="27">
        <v>1.5</v>
      </c>
      <c r="AV7" s="27">
        <v>6.7</v>
      </c>
      <c r="AX7" s="27">
        <f t="shared" si="18"/>
        <v>0.4</v>
      </c>
      <c r="AY7" s="27">
        <f t="shared" si="8"/>
        <v>9.5609756097560989</v>
      </c>
      <c r="AZ7" s="27">
        <v>9.8000000000000007</v>
      </c>
      <c r="BA7" s="27">
        <v>37.799999999999997</v>
      </c>
      <c r="BB7" s="27">
        <v>1.5</v>
      </c>
      <c r="BC7" s="27">
        <v>3.9</v>
      </c>
      <c r="BE7" s="27">
        <f t="shared" si="19"/>
        <v>0.4</v>
      </c>
      <c r="BF7" s="27">
        <f t="shared" si="9"/>
        <v>12.780487804878049</v>
      </c>
      <c r="BG7" s="27">
        <v>13.1</v>
      </c>
      <c r="BH7" s="27">
        <v>40.200000000000003</v>
      </c>
      <c r="BI7" s="27">
        <v>1.5</v>
      </c>
      <c r="BJ7" s="27">
        <v>6.7</v>
      </c>
      <c r="BL7" s="27">
        <f t="shared" si="20"/>
        <v>0.4</v>
      </c>
      <c r="BM7" s="27">
        <f t="shared" si="10"/>
        <v>6.536585365853659</v>
      </c>
      <c r="BN7" s="29">
        <v>6.7</v>
      </c>
      <c r="BO7" s="27">
        <v>25.65</v>
      </c>
      <c r="BP7" s="27">
        <v>1.5</v>
      </c>
      <c r="BQ7" s="27">
        <v>3.6</v>
      </c>
      <c r="BS7" s="27">
        <v>2.4</v>
      </c>
      <c r="BT7" s="27">
        <f t="shared" si="1"/>
        <v>2.4</v>
      </c>
      <c r="BU7" s="27">
        <f t="shared" si="21"/>
        <v>0.4</v>
      </c>
      <c r="BV7" s="27">
        <v>4.88</v>
      </c>
      <c r="BW7" s="27">
        <v>2.21</v>
      </c>
      <c r="BX7" s="27">
        <v>0.4</v>
      </c>
    </row>
    <row r="8" spans="1:76" ht="12.75" customHeight="1" x14ac:dyDescent="0.2">
      <c r="A8" s="29">
        <v>11.3</v>
      </c>
      <c r="B8" s="27">
        <f t="shared" si="0"/>
        <v>13.262910798122068</v>
      </c>
      <c r="C8" s="29">
        <f t="shared" si="11"/>
        <v>0.5</v>
      </c>
      <c r="D8" s="29">
        <v>47.4</v>
      </c>
      <c r="E8" s="27">
        <v>0.26</v>
      </c>
      <c r="F8" s="29">
        <v>7.4</v>
      </c>
      <c r="H8" s="27">
        <f t="shared" si="12"/>
        <v>0.5</v>
      </c>
      <c r="I8" s="27">
        <f t="shared" si="2"/>
        <v>3.3170731707317076</v>
      </c>
      <c r="J8" s="27">
        <v>3.4</v>
      </c>
      <c r="K8" s="27">
        <v>80.94</v>
      </c>
      <c r="L8" s="27">
        <v>0.31</v>
      </c>
      <c r="M8" s="27">
        <v>1.4</v>
      </c>
      <c r="O8" s="27">
        <f t="shared" si="13"/>
        <v>0.5</v>
      </c>
      <c r="P8" s="27">
        <f t="shared" si="3"/>
        <v>2.1463414634146347</v>
      </c>
      <c r="Q8" s="27">
        <v>2.2000000000000002</v>
      </c>
      <c r="R8" s="27">
        <v>72.930000000000007</v>
      </c>
      <c r="S8" s="27">
        <v>1.63</v>
      </c>
      <c r="T8" s="27">
        <v>11.8</v>
      </c>
      <c r="V8" s="27">
        <f t="shared" si="14"/>
        <v>0.5</v>
      </c>
      <c r="W8" s="27">
        <f t="shared" si="4"/>
        <v>27.024390243902442</v>
      </c>
      <c r="X8" s="27">
        <v>27.7</v>
      </c>
      <c r="Y8" s="27">
        <v>69</v>
      </c>
      <c r="Z8" s="27">
        <v>0.26</v>
      </c>
      <c r="AA8" s="27">
        <v>8.1999999999999993</v>
      </c>
      <c r="AC8" s="27">
        <f t="shared" si="15"/>
        <v>0.5</v>
      </c>
      <c r="AD8" s="27">
        <f t="shared" si="5"/>
        <v>34.048780487804876</v>
      </c>
      <c r="AE8" s="27">
        <v>34.9</v>
      </c>
      <c r="AF8" s="27">
        <v>56.36</v>
      </c>
      <c r="AG8" s="27">
        <v>0.25</v>
      </c>
      <c r="AH8" s="27">
        <v>24.8</v>
      </c>
      <c r="AJ8" s="27">
        <f t="shared" si="16"/>
        <v>0.5</v>
      </c>
      <c r="AK8" s="27">
        <f t="shared" si="6"/>
        <v>26.536585365853661</v>
      </c>
      <c r="AL8" s="27">
        <v>27.2</v>
      </c>
      <c r="AM8" s="27">
        <v>25.74</v>
      </c>
      <c r="AN8" s="27">
        <v>0.27</v>
      </c>
      <c r="AO8" s="27">
        <v>15.9</v>
      </c>
      <c r="AQ8" s="27">
        <f t="shared" si="17"/>
        <v>0.5</v>
      </c>
      <c r="AR8" s="27">
        <f t="shared" si="7"/>
        <v>15.609756097560977</v>
      </c>
      <c r="AS8" s="27">
        <v>16</v>
      </c>
      <c r="AT8" s="27">
        <v>59.19</v>
      </c>
      <c r="AU8" s="27">
        <v>1.55</v>
      </c>
      <c r="AV8" s="27">
        <v>6.7</v>
      </c>
      <c r="AX8" s="27">
        <f t="shared" si="18"/>
        <v>0.5</v>
      </c>
      <c r="AY8" s="27">
        <f t="shared" si="8"/>
        <v>11.804878048780488</v>
      </c>
      <c r="AZ8" s="27">
        <v>12.1</v>
      </c>
      <c r="BA8" s="27">
        <v>37.799999999999997</v>
      </c>
      <c r="BB8" s="27">
        <v>1.55</v>
      </c>
      <c r="BC8" s="27">
        <v>4.5</v>
      </c>
      <c r="BE8" s="27">
        <f t="shared" si="19"/>
        <v>0.5</v>
      </c>
      <c r="BF8" s="27">
        <f t="shared" si="9"/>
        <v>15.804878048780488</v>
      </c>
      <c r="BG8" s="27">
        <v>16.2</v>
      </c>
      <c r="BH8" s="27">
        <v>40.200000000000003</v>
      </c>
      <c r="BI8" s="27">
        <v>1.55</v>
      </c>
      <c r="BJ8" s="27">
        <v>6.7</v>
      </c>
      <c r="BL8" s="27">
        <f t="shared" si="20"/>
        <v>0.5</v>
      </c>
      <c r="BM8" s="27">
        <f t="shared" si="10"/>
        <v>8.097560975609758</v>
      </c>
      <c r="BN8" s="29">
        <v>8.3000000000000007</v>
      </c>
      <c r="BO8" s="27">
        <v>25.65</v>
      </c>
      <c r="BP8" s="27">
        <v>1.56</v>
      </c>
      <c r="BQ8" s="27">
        <v>3.6</v>
      </c>
      <c r="BS8" s="27">
        <v>3.2</v>
      </c>
      <c r="BT8" s="27">
        <f t="shared" si="1"/>
        <v>3.2</v>
      </c>
      <c r="BU8" s="27">
        <f t="shared" si="21"/>
        <v>0.5</v>
      </c>
      <c r="BV8" s="27">
        <v>4.8600000000000003</v>
      </c>
      <c r="BW8" s="27">
        <v>2.27</v>
      </c>
      <c r="BX8" s="27">
        <v>0.5</v>
      </c>
    </row>
    <row r="9" spans="1:76" ht="12.75" customHeight="1" x14ac:dyDescent="0.2">
      <c r="A9" s="29">
        <v>13.6</v>
      </c>
      <c r="B9" s="27">
        <f t="shared" si="0"/>
        <v>15.96244131455399</v>
      </c>
      <c r="C9" s="29">
        <f t="shared" si="11"/>
        <v>0.6</v>
      </c>
      <c r="D9" s="29">
        <v>47.4</v>
      </c>
      <c r="E9" s="27">
        <v>0.31</v>
      </c>
      <c r="F9" s="29">
        <v>7.7</v>
      </c>
      <c r="H9" s="27">
        <f t="shared" si="12"/>
        <v>0.6</v>
      </c>
      <c r="I9" s="27">
        <f t="shared" si="2"/>
        <v>4.2926829268292694</v>
      </c>
      <c r="J9" s="27">
        <v>4.4000000000000004</v>
      </c>
      <c r="K9" s="27">
        <v>80.959999999999994</v>
      </c>
      <c r="L9" s="27">
        <v>0.37</v>
      </c>
      <c r="M9" s="27">
        <v>1.7</v>
      </c>
      <c r="O9" s="27">
        <f t="shared" si="13"/>
        <v>0.6</v>
      </c>
      <c r="P9" s="27">
        <f t="shared" si="3"/>
        <v>3.3170731707317076</v>
      </c>
      <c r="Q9" s="27">
        <v>3.4</v>
      </c>
      <c r="R9" s="27">
        <v>72.98</v>
      </c>
      <c r="S9" s="27">
        <v>1.69</v>
      </c>
      <c r="T9" s="27">
        <v>11.4</v>
      </c>
      <c r="V9" s="27">
        <f t="shared" si="14"/>
        <v>0.6</v>
      </c>
      <c r="W9" s="27">
        <f t="shared" si="4"/>
        <v>32.975609756097562</v>
      </c>
      <c r="X9" s="27">
        <v>33.799999999999997</v>
      </c>
      <c r="Y9" s="27">
        <v>69.400000000000006</v>
      </c>
      <c r="Z9" s="27">
        <v>0.31</v>
      </c>
      <c r="AA9" s="27">
        <v>8.5</v>
      </c>
      <c r="AC9" s="27">
        <f t="shared" si="15"/>
        <v>0.6</v>
      </c>
      <c r="AD9" s="27">
        <f t="shared" si="5"/>
        <v>41.073170731707322</v>
      </c>
      <c r="AE9" s="27">
        <v>42.1</v>
      </c>
      <c r="AF9" s="27">
        <v>56.37</v>
      </c>
      <c r="AG9" s="27">
        <v>0.28999999999999998</v>
      </c>
      <c r="AH9" s="27">
        <v>24.7</v>
      </c>
      <c r="AJ9" s="27">
        <f t="shared" si="16"/>
        <v>0.6</v>
      </c>
      <c r="AK9" s="27">
        <f t="shared" si="6"/>
        <v>32.09756097560976</v>
      </c>
      <c r="AL9" s="27">
        <v>32.9</v>
      </c>
      <c r="AM9" s="27">
        <v>25.73</v>
      </c>
      <c r="AN9" s="27">
        <v>0.32</v>
      </c>
      <c r="AO9" s="27">
        <v>16.600000000000001</v>
      </c>
      <c r="AQ9" s="27">
        <f t="shared" si="17"/>
        <v>0.6</v>
      </c>
      <c r="AR9" s="27">
        <f t="shared" si="7"/>
        <v>18.634146341463417</v>
      </c>
      <c r="AS9" s="27">
        <v>19.100000000000001</v>
      </c>
      <c r="AT9" s="27">
        <v>59.24</v>
      </c>
      <c r="AU9" s="27">
        <v>1.61</v>
      </c>
      <c r="AV9" s="27">
        <v>6.9</v>
      </c>
      <c r="AX9" s="27">
        <f t="shared" si="18"/>
        <v>0.6</v>
      </c>
      <c r="AY9" s="27">
        <f t="shared" si="8"/>
        <v>14.146341463414636</v>
      </c>
      <c r="AZ9" s="27">
        <v>14.5</v>
      </c>
      <c r="BA9" s="27">
        <v>37.799999999999997</v>
      </c>
      <c r="BB9" s="27">
        <v>1.6</v>
      </c>
      <c r="BC9" s="27">
        <v>5</v>
      </c>
      <c r="BE9" s="27">
        <f t="shared" si="19"/>
        <v>0.6</v>
      </c>
      <c r="BF9" s="27">
        <f t="shared" si="9"/>
        <v>18.829268292682929</v>
      </c>
      <c r="BG9" s="27">
        <v>19.3</v>
      </c>
      <c r="BH9" s="27">
        <v>40.200000000000003</v>
      </c>
      <c r="BI9" s="27">
        <v>1.6</v>
      </c>
      <c r="BJ9" s="27">
        <v>6.7</v>
      </c>
      <c r="BL9" s="27">
        <f t="shared" si="20"/>
        <v>0.6</v>
      </c>
      <c r="BM9" s="27">
        <f t="shared" si="10"/>
        <v>9.6585365853658551</v>
      </c>
      <c r="BN9" s="29">
        <v>9.9</v>
      </c>
      <c r="BO9" s="27">
        <v>25.64</v>
      </c>
      <c r="BP9" s="27">
        <v>1.61</v>
      </c>
      <c r="BQ9" s="27">
        <v>3.6</v>
      </c>
      <c r="BS9" s="27">
        <v>4.0999999999999996</v>
      </c>
      <c r="BT9" s="27">
        <f t="shared" si="1"/>
        <v>4.0999999999999996</v>
      </c>
      <c r="BU9" s="27">
        <f t="shared" si="21"/>
        <v>0.6</v>
      </c>
      <c r="BV9" s="27">
        <v>4.84</v>
      </c>
      <c r="BW9" s="27">
        <v>2.3199999999999998</v>
      </c>
      <c r="BX9" s="27">
        <v>0.6</v>
      </c>
    </row>
    <row r="10" spans="1:76" ht="12.75" customHeight="1" x14ac:dyDescent="0.2">
      <c r="A10" s="29">
        <v>15.9</v>
      </c>
      <c r="B10" s="27">
        <f t="shared" si="0"/>
        <v>18.661971830985916</v>
      </c>
      <c r="C10" s="29">
        <f t="shared" si="11"/>
        <v>0.7</v>
      </c>
      <c r="D10" s="29">
        <v>47.4</v>
      </c>
      <c r="E10" s="27">
        <v>0.36</v>
      </c>
      <c r="F10" s="29">
        <v>7.9</v>
      </c>
      <c r="H10" s="27">
        <f t="shared" si="12"/>
        <v>0.7</v>
      </c>
      <c r="I10" s="27">
        <f t="shared" si="2"/>
        <v>5.4634146341463419</v>
      </c>
      <c r="J10" s="27">
        <v>5.6</v>
      </c>
      <c r="K10" s="27">
        <v>80.98</v>
      </c>
      <c r="L10" s="27">
        <v>0.43</v>
      </c>
      <c r="M10" s="27">
        <v>2</v>
      </c>
      <c r="O10" s="27">
        <f t="shared" si="13"/>
        <v>0.7</v>
      </c>
      <c r="P10" s="27">
        <f t="shared" si="3"/>
        <v>4.0975609756097562</v>
      </c>
      <c r="Q10" s="27">
        <v>4.2</v>
      </c>
      <c r="R10" s="27">
        <v>73.010000000000005</v>
      </c>
      <c r="S10" s="27">
        <v>1.73</v>
      </c>
      <c r="T10" s="27">
        <v>11.8</v>
      </c>
      <c r="V10" s="27">
        <f t="shared" si="14"/>
        <v>0.7</v>
      </c>
      <c r="W10" s="27">
        <f t="shared" si="4"/>
        <v>38.926829268292686</v>
      </c>
      <c r="X10" s="27">
        <v>39.9</v>
      </c>
      <c r="Y10" s="27">
        <v>69.7</v>
      </c>
      <c r="Z10" s="27">
        <v>0.36</v>
      </c>
      <c r="AA10" s="27">
        <v>8.9</v>
      </c>
      <c r="AC10" s="27">
        <f t="shared" si="15"/>
        <v>0.7</v>
      </c>
      <c r="AD10" s="27">
        <f t="shared" si="5"/>
        <v>48.000000000000007</v>
      </c>
      <c r="AE10" s="27">
        <v>49.2</v>
      </c>
      <c r="AF10" s="27">
        <v>56.37</v>
      </c>
      <c r="AG10" s="27">
        <v>0.34</v>
      </c>
      <c r="AH10" s="27">
        <v>25.5</v>
      </c>
      <c r="AJ10" s="27">
        <f t="shared" si="16"/>
        <v>0.7</v>
      </c>
      <c r="AK10" s="27">
        <f t="shared" si="6"/>
        <v>37.756097560975618</v>
      </c>
      <c r="AL10" s="27">
        <v>38.700000000000003</v>
      </c>
      <c r="AM10" s="27">
        <v>25.72</v>
      </c>
      <c r="AN10" s="27">
        <v>0.39</v>
      </c>
      <c r="AO10" s="27">
        <v>17.3</v>
      </c>
      <c r="AQ10" s="27">
        <f t="shared" si="17"/>
        <v>0.7</v>
      </c>
      <c r="AR10" s="27">
        <f t="shared" si="7"/>
        <v>21.756097560975611</v>
      </c>
      <c r="AS10" s="27">
        <v>22.3</v>
      </c>
      <c r="AT10" s="27">
        <v>59.3</v>
      </c>
      <c r="AU10" s="27">
        <v>1.66</v>
      </c>
      <c r="AV10" s="27">
        <v>6.9</v>
      </c>
      <c r="AX10" s="27">
        <f t="shared" si="18"/>
        <v>0.7</v>
      </c>
      <c r="AY10" s="27">
        <f t="shared" si="8"/>
        <v>16.390243902439025</v>
      </c>
      <c r="AZ10" s="27">
        <v>16.8</v>
      </c>
      <c r="BA10" s="27">
        <v>37.799999999999997</v>
      </c>
      <c r="BB10" s="27">
        <v>1.65</v>
      </c>
      <c r="BC10" s="27">
        <v>5.3</v>
      </c>
      <c r="BE10" s="27">
        <f t="shared" si="19"/>
        <v>0.7</v>
      </c>
      <c r="BF10" s="27">
        <f t="shared" si="9"/>
        <v>21.853658536585368</v>
      </c>
      <c r="BG10" s="27">
        <v>22.4</v>
      </c>
      <c r="BH10" s="27">
        <v>40.200000000000003</v>
      </c>
      <c r="BI10" s="27">
        <v>1.65</v>
      </c>
      <c r="BJ10" s="27">
        <v>6.7</v>
      </c>
      <c r="BL10" s="27">
        <f t="shared" si="20"/>
        <v>0.7</v>
      </c>
      <c r="BM10" s="27">
        <f t="shared" si="10"/>
        <v>11.219512195121952</v>
      </c>
      <c r="BN10" s="29">
        <v>11.5</v>
      </c>
      <c r="BO10" s="27">
        <v>25.64</v>
      </c>
      <c r="BP10" s="27">
        <v>1.66</v>
      </c>
      <c r="BQ10" s="27">
        <v>3.6</v>
      </c>
      <c r="BS10" s="27">
        <v>5</v>
      </c>
      <c r="BT10" s="27">
        <f t="shared" si="1"/>
        <v>5</v>
      </c>
      <c r="BU10" s="27">
        <f t="shared" si="21"/>
        <v>0.7</v>
      </c>
      <c r="BV10" s="27">
        <v>4.83</v>
      </c>
      <c r="BW10" s="27">
        <v>2.38</v>
      </c>
      <c r="BX10" s="27">
        <v>0.7</v>
      </c>
    </row>
    <row r="11" spans="1:76" ht="12.75" customHeight="1" x14ac:dyDescent="0.2">
      <c r="A11" s="29">
        <v>18.2</v>
      </c>
      <c r="B11" s="27">
        <f t="shared" si="0"/>
        <v>21.36150234741784</v>
      </c>
      <c r="C11" s="29">
        <f t="shared" si="11"/>
        <v>0.79999999999999993</v>
      </c>
      <c r="D11" s="29">
        <v>47.4</v>
      </c>
      <c r="E11" s="27">
        <v>0.41</v>
      </c>
      <c r="F11" s="29">
        <v>8.1</v>
      </c>
      <c r="H11" s="27">
        <f t="shared" si="12"/>
        <v>0.79999999999999993</v>
      </c>
      <c r="I11" s="27">
        <f t="shared" si="2"/>
        <v>6.6341463414634152</v>
      </c>
      <c r="J11" s="27">
        <v>6.8</v>
      </c>
      <c r="K11" s="27">
        <v>81</v>
      </c>
      <c r="L11" s="27">
        <v>0.49</v>
      </c>
      <c r="M11" s="27">
        <v>2.2999999999999998</v>
      </c>
      <c r="O11" s="27">
        <f t="shared" si="13"/>
        <v>0.79999999999999993</v>
      </c>
      <c r="P11" s="27">
        <f t="shared" si="3"/>
        <v>8</v>
      </c>
      <c r="Q11" s="27">
        <v>8.1999999999999993</v>
      </c>
      <c r="R11" s="27">
        <v>73.400000000000006</v>
      </c>
      <c r="S11" s="27">
        <v>1.81</v>
      </c>
      <c r="T11" s="27">
        <v>20</v>
      </c>
      <c r="V11" s="27">
        <f t="shared" si="14"/>
        <v>0.79999999999999993</v>
      </c>
      <c r="W11" s="27">
        <f t="shared" si="4"/>
        <v>44.878048780487809</v>
      </c>
      <c r="X11" s="27">
        <v>46</v>
      </c>
      <c r="Y11" s="27">
        <v>69.099999999999994</v>
      </c>
      <c r="Z11" s="27">
        <v>0.41</v>
      </c>
      <c r="AA11" s="27">
        <v>9.1999999999999993</v>
      </c>
      <c r="AC11" s="27">
        <f t="shared" si="15"/>
        <v>0.79999999999999993</v>
      </c>
      <c r="AD11" s="27">
        <f t="shared" si="5"/>
        <v>55.121951219512198</v>
      </c>
      <c r="AE11" s="27">
        <v>56.5</v>
      </c>
      <c r="AF11" s="27">
        <v>56.37</v>
      </c>
      <c r="AG11" s="27">
        <v>0.39</v>
      </c>
      <c r="AH11" s="27">
        <v>26.2</v>
      </c>
      <c r="AJ11" s="27">
        <f t="shared" si="16"/>
        <v>0.79999999999999993</v>
      </c>
      <c r="AK11" s="27">
        <f t="shared" si="6"/>
        <v>43.41463414634147</v>
      </c>
      <c r="AL11" s="27">
        <v>44.5</v>
      </c>
      <c r="AM11" s="27">
        <v>25.71</v>
      </c>
      <c r="AN11" s="27">
        <v>0.42</v>
      </c>
      <c r="AO11" s="27">
        <v>18</v>
      </c>
      <c r="AQ11" s="27">
        <f t="shared" si="17"/>
        <v>0.79999999999999993</v>
      </c>
      <c r="AR11" s="27">
        <f t="shared" si="7"/>
        <v>24.975609756097565</v>
      </c>
      <c r="AS11" s="27">
        <v>25.6</v>
      </c>
      <c r="AT11" s="27">
        <v>59.37</v>
      </c>
      <c r="AU11" s="27">
        <v>1.71</v>
      </c>
      <c r="AV11" s="27">
        <v>6.9</v>
      </c>
      <c r="AX11" s="27">
        <f t="shared" si="18"/>
        <v>0.79999999999999993</v>
      </c>
      <c r="AY11" s="27">
        <f t="shared" si="8"/>
        <v>18.634146341463417</v>
      </c>
      <c r="AZ11" s="27">
        <v>19.100000000000001</v>
      </c>
      <c r="BA11" s="27">
        <v>37.799999999999997</v>
      </c>
      <c r="BB11" s="27">
        <v>1.7</v>
      </c>
      <c r="BC11" s="27">
        <v>5.6</v>
      </c>
      <c r="BE11" s="27">
        <f t="shared" si="19"/>
        <v>0.79999999999999993</v>
      </c>
      <c r="BF11" s="27">
        <f t="shared" si="9"/>
        <v>24.878048780487806</v>
      </c>
      <c r="BG11" s="27">
        <v>25.5</v>
      </c>
      <c r="BH11" s="27">
        <v>40.200000000000003</v>
      </c>
      <c r="BI11" s="27">
        <v>1.7</v>
      </c>
      <c r="BJ11" s="27">
        <v>6.7</v>
      </c>
      <c r="BL11" s="27">
        <f t="shared" si="20"/>
        <v>0.79999999999999993</v>
      </c>
      <c r="BM11" s="27">
        <f t="shared" si="10"/>
        <v>12.878048780487806</v>
      </c>
      <c r="BN11" s="29">
        <v>13.2</v>
      </c>
      <c r="BO11" s="27">
        <v>25.63</v>
      </c>
      <c r="BP11" s="27">
        <v>1.71</v>
      </c>
      <c r="BQ11" s="27">
        <v>3.6</v>
      </c>
      <c r="BS11" s="27">
        <v>6</v>
      </c>
      <c r="BT11" s="27">
        <f t="shared" si="1"/>
        <v>6</v>
      </c>
      <c r="BU11" s="27">
        <f t="shared" si="21"/>
        <v>0.79999999999999993</v>
      </c>
      <c r="BV11" s="27">
        <v>4.8099999999999996</v>
      </c>
      <c r="BW11" s="27">
        <v>2.4500000000000002</v>
      </c>
      <c r="BX11" s="27">
        <v>0.9</v>
      </c>
    </row>
    <row r="12" spans="1:76" ht="12.75" customHeight="1" x14ac:dyDescent="0.2">
      <c r="A12" s="29">
        <v>20.6</v>
      </c>
      <c r="B12" s="27">
        <f t="shared" si="0"/>
        <v>24.178403755868548</v>
      </c>
      <c r="C12" s="29">
        <f t="shared" si="11"/>
        <v>0.89999999999999991</v>
      </c>
      <c r="D12" s="29">
        <v>47.4</v>
      </c>
      <c r="E12" s="27">
        <v>0.46</v>
      </c>
      <c r="F12" s="29">
        <v>8.1</v>
      </c>
      <c r="H12" s="27">
        <f t="shared" si="12"/>
        <v>0.89999999999999991</v>
      </c>
      <c r="I12" s="27">
        <f t="shared" si="2"/>
        <v>7.8048780487804885</v>
      </c>
      <c r="J12" s="27">
        <v>8</v>
      </c>
      <c r="K12" s="27">
        <v>81.010000000000005</v>
      </c>
      <c r="L12" s="27">
        <v>0.55000000000000004</v>
      </c>
      <c r="M12" s="27">
        <v>2.6</v>
      </c>
      <c r="O12" s="27">
        <f t="shared" si="13"/>
        <v>0.89999999999999991</v>
      </c>
      <c r="P12" s="27">
        <f t="shared" si="3"/>
        <v>12.000000000000002</v>
      </c>
      <c r="Q12" s="27">
        <v>12.3</v>
      </c>
      <c r="R12" s="27">
        <v>73.739999999999995</v>
      </c>
      <c r="S12" s="27">
        <v>1.89</v>
      </c>
      <c r="T12" s="27">
        <v>27.4</v>
      </c>
      <c r="V12" s="27">
        <f t="shared" si="14"/>
        <v>0.89999999999999991</v>
      </c>
      <c r="W12" s="27">
        <f t="shared" si="4"/>
        <v>50.926829268292693</v>
      </c>
      <c r="X12" s="27">
        <v>52.2</v>
      </c>
      <c r="Y12" s="27">
        <v>69.12</v>
      </c>
      <c r="Z12" s="27">
        <v>0.46</v>
      </c>
      <c r="AA12" s="27">
        <v>9.6</v>
      </c>
      <c r="AC12" s="27">
        <f t="shared" si="15"/>
        <v>0.89999999999999991</v>
      </c>
      <c r="AD12" s="27">
        <f t="shared" si="5"/>
        <v>62.243902439024396</v>
      </c>
      <c r="AE12" s="27">
        <v>63.8</v>
      </c>
      <c r="AF12" s="27">
        <v>56.37</v>
      </c>
      <c r="AG12" s="27">
        <v>0.43</v>
      </c>
      <c r="AH12" s="27">
        <v>26.7</v>
      </c>
      <c r="AJ12" s="27">
        <f t="shared" si="16"/>
        <v>0.89999999999999991</v>
      </c>
      <c r="AK12" s="27">
        <f t="shared" si="6"/>
        <v>49.170731707317074</v>
      </c>
      <c r="AL12" s="27">
        <v>50.4</v>
      </c>
      <c r="AM12" s="27">
        <v>25.7</v>
      </c>
      <c r="AN12" s="27">
        <v>0.48</v>
      </c>
      <c r="AO12" s="27">
        <v>18.600000000000001</v>
      </c>
      <c r="AQ12" s="27">
        <f t="shared" si="17"/>
        <v>0.89999999999999991</v>
      </c>
      <c r="AR12" s="27">
        <f t="shared" si="7"/>
        <v>28.195121951219512</v>
      </c>
      <c r="AS12" s="27">
        <v>28.9</v>
      </c>
      <c r="AT12" s="27">
        <v>59.43</v>
      </c>
      <c r="AU12" s="27">
        <v>1.76</v>
      </c>
      <c r="AV12" s="27">
        <v>6.9</v>
      </c>
      <c r="AX12" s="27">
        <f t="shared" si="18"/>
        <v>0.89999999999999991</v>
      </c>
      <c r="AY12" s="27">
        <f t="shared" si="8"/>
        <v>20.975609756097562</v>
      </c>
      <c r="AZ12" s="27">
        <v>21.5</v>
      </c>
      <c r="BA12" s="27">
        <v>37.799999999999997</v>
      </c>
      <c r="BB12" s="27">
        <v>1.75</v>
      </c>
      <c r="BC12" s="27">
        <v>5.7</v>
      </c>
      <c r="BE12" s="27">
        <f t="shared" si="19"/>
        <v>0.89999999999999991</v>
      </c>
      <c r="BF12" s="27">
        <f t="shared" si="9"/>
        <v>27.902439024390247</v>
      </c>
      <c r="BG12" s="27">
        <v>28.6</v>
      </c>
      <c r="BH12" s="27">
        <v>40.200000000000003</v>
      </c>
      <c r="BI12" s="27">
        <v>1.75</v>
      </c>
      <c r="BJ12" s="27">
        <v>6.7</v>
      </c>
      <c r="BL12" s="27">
        <f t="shared" si="20"/>
        <v>0.89999999999999991</v>
      </c>
      <c r="BM12" s="27">
        <f t="shared" si="10"/>
        <v>14.439024390243905</v>
      </c>
      <c r="BN12" s="29">
        <v>14.8</v>
      </c>
      <c r="BO12" s="27">
        <v>25.62</v>
      </c>
      <c r="BP12" s="27">
        <v>1.76</v>
      </c>
      <c r="BQ12" s="27">
        <v>3.6</v>
      </c>
      <c r="BS12" s="27">
        <v>7.1</v>
      </c>
      <c r="BT12" s="27">
        <f t="shared" si="1"/>
        <v>7.1</v>
      </c>
      <c r="BU12" s="27">
        <f t="shared" si="21"/>
        <v>0.89999999999999991</v>
      </c>
      <c r="BV12" s="27">
        <v>4.79</v>
      </c>
      <c r="BW12" s="27">
        <v>2.5099999999999998</v>
      </c>
      <c r="BX12" s="27">
        <v>1.2</v>
      </c>
    </row>
    <row r="13" spans="1:76" ht="12.75" customHeight="1" x14ac:dyDescent="0.2">
      <c r="A13" s="29">
        <v>22.9</v>
      </c>
      <c r="B13" s="27">
        <f t="shared" si="0"/>
        <v>26.877934272300468</v>
      </c>
      <c r="C13" s="29">
        <f t="shared" si="11"/>
        <v>0.99999999999999989</v>
      </c>
      <c r="D13" s="29">
        <v>47.4</v>
      </c>
      <c r="E13" s="27">
        <v>0.51</v>
      </c>
      <c r="F13" s="29">
        <v>8.3000000000000007</v>
      </c>
      <c r="H13" s="27">
        <f t="shared" si="12"/>
        <v>0.99999999999999989</v>
      </c>
      <c r="I13" s="27">
        <f t="shared" si="2"/>
        <v>9.073170731707318</v>
      </c>
      <c r="J13" s="27">
        <v>9.3000000000000007</v>
      </c>
      <c r="K13" s="27">
        <v>81.02</v>
      </c>
      <c r="L13" s="27">
        <v>0.61</v>
      </c>
      <c r="M13" s="27">
        <v>3</v>
      </c>
      <c r="O13" s="27">
        <f t="shared" si="13"/>
        <v>0.99999999999999989</v>
      </c>
      <c r="P13" s="27">
        <f t="shared" si="3"/>
        <v>16.195121951219516</v>
      </c>
      <c r="Q13" s="27">
        <v>16.600000000000001</v>
      </c>
      <c r="R13" s="27">
        <v>74.040000000000006</v>
      </c>
      <c r="S13" s="27">
        <v>1.96</v>
      </c>
      <c r="T13" s="27">
        <v>33.9</v>
      </c>
      <c r="V13" s="27">
        <f t="shared" si="14"/>
        <v>0.99999999999999989</v>
      </c>
      <c r="W13" s="27">
        <f t="shared" si="4"/>
        <v>56.975609756097562</v>
      </c>
      <c r="X13" s="27">
        <v>58.4</v>
      </c>
      <c r="Y13" s="27">
        <v>69.14</v>
      </c>
      <c r="Z13" s="27">
        <v>0.51</v>
      </c>
      <c r="AA13" s="27">
        <v>9.9</v>
      </c>
      <c r="AC13" s="27">
        <f t="shared" si="15"/>
        <v>0.99999999999999989</v>
      </c>
      <c r="AD13" s="27">
        <f t="shared" si="5"/>
        <v>69.463414634146346</v>
      </c>
      <c r="AE13" s="27">
        <v>71.2</v>
      </c>
      <c r="AF13" s="27">
        <v>56.37</v>
      </c>
      <c r="AG13" s="27">
        <v>0.48</v>
      </c>
      <c r="AH13" s="27">
        <v>27.2</v>
      </c>
      <c r="AJ13" s="27">
        <f t="shared" si="16"/>
        <v>0.99999999999999989</v>
      </c>
      <c r="AK13" s="27">
        <f t="shared" si="6"/>
        <v>55.024390243902445</v>
      </c>
      <c r="AL13" s="27">
        <v>56.4</v>
      </c>
      <c r="AM13" s="27">
        <v>25.7</v>
      </c>
      <c r="AN13" s="27">
        <v>0.53</v>
      </c>
      <c r="AO13" s="27">
        <v>19.100000000000001</v>
      </c>
      <c r="AQ13" s="27">
        <f t="shared" si="17"/>
        <v>0.99999999999999989</v>
      </c>
      <c r="AR13" s="27">
        <f t="shared" si="7"/>
        <v>31.41463414634147</v>
      </c>
      <c r="AS13" s="27">
        <v>32.200000000000003</v>
      </c>
      <c r="AT13" s="27">
        <v>59.48</v>
      </c>
      <c r="AU13" s="27">
        <v>1.81</v>
      </c>
      <c r="AV13" s="27">
        <v>6.9</v>
      </c>
      <c r="AX13" s="27">
        <f t="shared" si="18"/>
        <v>0.99999999999999989</v>
      </c>
      <c r="AY13" s="27">
        <f t="shared" si="8"/>
        <v>23.219512195121954</v>
      </c>
      <c r="AZ13" s="27">
        <v>23.8</v>
      </c>
      <c r="BA13" s="27">
        <v>37.799999999999997</v>
      </c>
      <c r="BB13" s="27">
        <v>1.8</v>
      </c>
      <c r="BC13" s="27">
        <v>5.6</v>
      </c>
      <c r="BE13" s="27">
        <f t="shared" si="19"/>
        <v>0.99999999999999989</v>
      </c>
      <c r="BF13" s="27">
        <f t="shared" si="9"/>
        <v>30.926829268292686</v>
      </c>
      <c r="BG13" s="27">
        <v>31.7</v>
      </c>
      <c r="BH13" s="27">
        <v>40.200000000000003</v>
      </c>
      <c r="BI13" s="27">
        <v>1.8</v>
      </c>
      <c r="BJ13" s="27">
        <v>6.7</v>
      </c>
      <c r="BL13" s="27">
        <f t="shared" si="20"/>
        <v>0.99999999999999989</v>
      </c>
      <c r="BM13" s="27">
        <f t="shared" si="10"/>
        <v>16</v>
      </c>
      <c r="BN13" s="29">
        <v>16.399999999999999</v>
      </c>
      <c r="BO13" s="27">
        <v>25.62</v>
      </c>
      <c r="BP13" s="27">
        <v>1.81</v>
      </c>
      <c r="BQ13" s="27">
        <v>3.6</v>
      </c>
      <c r="BS13" s="27">
        <v>8.4</v>
      </c>
      <c r="BT13" s="27">
        <f t="shared" si="1"/>
        <v>8.4</v>
      </c>
      <c r="BU13" s="27">
        <f t="shared" si="21"/>
        <v>0.99999999999999989</v>
      </c>
      <c r="BV13" s="27">
        <v>4.7699999999999996</v>
      </c>
      <c r="BW13" s="27">
        <v>2.58</v>
      </c>
      <c r="BX13" s="27">
        <v>1.6</v>
      </c>
    </row>
    <row r="14" spans="1:76" ht="12.75" customHeight="1" x14ac:dyDescent="0.2">
      <c r="A14" s="29">
        <v>25.3</v>
      </c>
      <c r="B14" s="27">
        <f t="shared" si="0"/>
        <v>29.694835680751176</v>
      </c>
      <c r="C14" s="29">
        <f t="shared" si="11"/>
        <v>1.0999999999999999</v>
      </c>
      <c r="D14" s="29">
        <v>47.4</v>
      </c>
      <c r="E14" s="27">
        <v>0.56000000000000005</v>
      </c>
      <c r="F14" s="29">
        <v>8.4</v>
      </c>
      <c r="H14" s="27">
        <f t="shared" si="12"/>
        <v>1.0999999999999999</v>
      </c>
      <c r="I14" s="27">
        <f t="shared" si="2"/>
        <v>10.341463414634147</v>
      </c>
      <c r="J14" s="27">
        <v>10.6</v>
      </c>
      <c r="K14" s="27">
        <v>81.040000000000006</v>
      </c>
      <c r="L14" s="27">
        <v>0.66</v>
      </c>
      <c r="M14" s="27">
        <v>3.3</v>
      </c>
      <c r="O14" s="27">
        <f t="shared" si="13"/>
        <v>1.0999999999999999</v>
      </c>
      <c r="P14" s="27">
        <f t="shared" si="3"/>
        <v>20.390243902439025</v>
      </c>
      <c r="Q14" s="27">
        <v>20.9</v>
      </c>
      <c r="R14" s="27">
        <v>74.290000000000006</v>
      </c>
      <c r="S14" s="27">
        <v>2.0299999999999998</v>
      </c>
      <c r="T14" s="27">
        <v>39.5</v>
      </c>
      <c r="V14" s="27">
        <f t="shared" si="14"/>
        <v>1.0999999999999999</v>
      </c>
      <c r="W14" s="27">
        <f t="shared" si="4"/>
        <v>64.390243902439025</v>
      </c>
      <c r="X14" s="27">
        <v>66</v>
      </c>
      <c r="Y14" s="27">
        <v>69.16</v>
      </c>
      <c r="Z14" s="27">
        <v>0.56000000000000005</v>
      </c>
      <c r="AA14" s="27">
        <v>10.199999999999999</v>
      </c>
      <c r="AC14" s="27">
        <f t="shared" si="15"/>
        <v>1.0999999999999999</v>
      </c>
      <c r="AD14" s="27">
        <f t="shared" si="5"/>
        <v>76.682926829268297</v>
      </c>
      <c r="AE14" s="27">
        <v>78.599999999999994</v>
      </c>
      <c r="AF14" s="27">
        <v>56.37</v>
      </c>
      <c r="AG14" s="27">
        <v>0.53</v>
      </c>
      <c r="AH14" s="27">
        <v>27.5</v>
      </c>
      <c r="AJ14" s="27">
        <f t="shared" si="16"/>
        <v>1.0999999999999999</v>
      </c>
      <c r="AK14" s="27">
        <f t="shared" si="6"/>
        <v>60.878048780487809</v>
      </c>
      <c r="AL14" s="27">
        <v>62.4</v>
      </c>
      <c r="AM14" s="27">
        <v>25.69</v>
      </c>
      <c r="AN14" s="27">
        <v>0.57999999999999996</v>
      </c>
      <c r="AO14" s="27">
        <v>19.5</v>
      </c>
      <c r="AQ14" s="27">
        <f t="shared" si="17"/>
        <v>1.0999999999999999</v>
      </c>
      <c r="AR14" s="27">
        <f t="shared" si="7"/>
        <v>34.634146341463421</v>
      </c>
      <c r="AS14" s="27">
        <v>35.5</v>
      </c>
      <c r="AT14" s="27">
        <v>59.54</v>
      </c>
      <c r="AU14" s="27">
        <v>1.86</v>
      </c>
      <c r="AV14" s="27">
        <v>6.9</v>
      </c>
      <c r="AX14" s="27">
        <f t="shared" si="18"/>
        <v>1.0999999999999999</v>
      </c>
      <c r="AY14" s="27">
        <f t="shared" si="8"/>
        <v>25.463414634146346</v>
      </c>
      <c r="AZ14" s="27">
        <v>26.1</v>
      </c>
      <c r="BA14" s="27">
        <v>37.799999999999997</v>
      </c>
      <c r="BB14" s="27">
        <v>1.85</v>
      </c>
      <c r="BC14" s="27">
        <v>5.5</v>
      </c>
      <c r="BE14" s="27">
        <f t="shared" si="19"/>
        <v>1.0999999999999999</v>
      </c>
      <c r="BF14" s="27">
        <f t="shared" si="9"/>
        <v>33.951219512195124</v>
      </c>
      <c r="BG14" s="27">
        <v>34.799999999999997</v>
      </c>
      <c r="BH14" s="27">
        <v>40.200000000000003</v>
      </c>
      <c r="BI14" s="27">
        <v>1.85</v>
      </c>
      <c r="BJ14" s="27">
        <v>6.7</v>
      </c>
      <c r="BL14" s="27">
        <f t="shared" si="20"/>
        <v>1.0999999999999999</v>
      </c>
      <c r="BM14" s="27">
        <f t="shared" si="10"/>
        <v>17.658536585365855</v>
      </c>
      <c r="BN14" s="29">
        <v>18.100000000000001</v>
      </c>
      <c r="BO14" s="27">
        <v>25.61</v>
      </c>
      <c r="BP14" s="27">
        <v>1.86</v>
      </c>
      <c r="BQ14" s="27">
        <v>3.6</v>
      </c>
      <c r="BS14" s="27">
        <v>9.8000000000000007</v>
      </c>
      <c r="BT14" s="27">
        <f t="shared" si="1"/>
        <v>9.8000000000000007</v>
      </c>
      <c r="BU14" s="27">
        <f t="shared" si="21"/>
        <v>1.0999999999999999</v>
      </c>
      <c r="BV14" s="27">
        <v>4.75</v>
      </c>
      <c r="BW14" s="27">
        <v>2.64</v>
      </c>
      <c r="BX14" s="27">
        <v>2</v>
      </c>
    </row>
    <row r="15" spans="1:76" ht="12.75" customHeight="1" x14ac:dyDescent="0.2">
      <c r="A15" s="29">
        <v>27.6</v>
      </c>
      <c r="B15" s="27">
        <f t="shared" si="0"/>
        <v>32.394366197183103</v>
      </c>
      <c r="C15" s="29">
        <f t="shared" si="11"/>
        <v>1.2</v>
      </c>
      <c r="D15" s="29">
        <v>47.4</v>
      </c>
      <c r="E15" s="27">
        <v>0.61</v>
      </c>
      <c r="F15" s="29">
        <v>8.5</v>
      </c>
      <c r="H15" s="27">
        <f t="shared" si="12"/>
        <v>1.2</v>
      </c>
      <c r="I15" s="27">
        <f t="shared" si="2"/>
        <v>11.707317073170733</v>
      </c>
      <c r="J15" s="27">
        <v>12</v>
      </c>
      <c r="K15" s="27">
        <v>81.05</v>
      </c>
      <c r="L15" s="27">
        <v>0.72</v>
      </c>
      <c r="M15" s="27">
        <v>3.7</v>
      </c>
      <c r="O15" s="27">
        <f t="shared" si="13"/>
        <v>1.2</v>
      </c>
      <c r="P15" s="27">
        <f t="shared" si="3"/>
        <v>24.682926829268297</v>
      </c>
      <c r="Q15" s="27">
        <v>25.3</v>
      </c>
      <c r="R15" s="27">
        <v>74.489999999999995</v>
      </c>
      <c r="S15" s="27">
        <v>2.1</v>
      </c>
      <c r="T15" s="27">
        <v>44.2</v>
      </c>
      <c r="V15" s="27">
        <f t="shared" si="14"/>
        <v>1.2</v>
      </c>
      <c r="W15" s="27">
        <f t="shared" si="4"/>
        <v>72.780487804878049</v>
      </c>
      <c r="X15" s="27">
        <v>74.599999999999994</v>
      </c>
      <c r="Y15" s="27">
        <v>69.19</v>
      </c>
      <c r="Z15" s="27">
        <v>0.63</v>
      </c>
      <c r="AA15" s="27">
        <v>10.5</v>
      </c>
      <c r="AC15" s="27">
        <f t="shared" si="15"/>
        <v>1.2</v>
      </c>
      <c r="AD15" s="27">
        <f t="shared" si="5"/>
        <v>83.902439024390247</v>
      </c>
      <c r="AE15" s="27">
        <v>86</v>
      </c>
      <c r="AF15" s="27">
        <v>56.37</v>
      </c>
      <c r="AG15" s="27">
        <v>0.57999999999999996</v>
      </c>
      <c r="AH15" s="27">
        <v>27.7</v>
      </c>
      <c r="AJ15" s="27">
        <f t="shared" si="16"/>
        <v>1.2</v>
      </c>
      <c r="AK15" s="27">
        <f t="shared" si="6"/>
        <v>66.829268292682926</v>
      </c>
      <c r="AL15" s="27">
        <v>68.5</v>
      </c>
      <c r="AM15" s="27">
        <v>25.68</v>
      </c>
      <c r="AN15" s="27">
        <v>0.63</v>
      </c>
      <c r="AO15" s="27">
        <v>19.899999999999999</v>
      </c>
      <c r="AQ15" s="27">
        <f t="shared" si="17"/>
        <v>1.2</v>
      </c>
      <c r="AR15" s="27">
        <f t="shared" si="7"/>
        <v>37.951219512195124</v>
      </c>
      <c r="AS15" s="27">
        <v>38.9</v>
      </c>
      <c r="AT15" s="27">
        <v>59.9</v>
      </c>
      <c r="AU15" s="27">
        <v>1.91</v>
      </c>
      <c r="AV15" s="27">
        <v>7</v>
      </c>
      <c r="AX15" s="27">
        <f t="shared" si="18"/>
        <v>1.2</v>
      </c>
      <c r="AY15" s="27">
        <f t="shared" si="8"/>
        <v>27.804878048780491</v>
      </c>
      <c r="AZ15" s="27">
        <v>28.5</v>
      </c>
      <c r="BA15" s="27">
        <v>37.799999999999997</v>
      </c>
      <c r="BB15" s="27">
        <v>1.9</v>
      </c>
      <c r="BC15" s="27">
        <v>5.2</v>
      </c>
      <c r="BE15" s="27">
        <f t="shared" si="19"/>
        <v>1.2</v>
      </c>
      <c r="BF15" s="27">
        <f t="shared" si="9"/>
        <v>36.975609756097562</v>
      </c>
      <c r="BG15" s="27">
        <v>37.9</v>
      </c>
      <c r="BH15" s="27">
        <v>40.200000000000003</v>
      </c>
      <c r="BI15" s="27">
        <v>1.9</v>
      </c>
      <c r="BJ15" s="27">
        <v>6.7</v>
      </c>
      <c r="BL15" s="27">
        <f t="shared" si="20"/>
        <v>1.2</v>
      </c>
      <c r="BM15" s="27">
        <f t="shared" si="10"/>
        <v>19.219512195121951</v>
      </c>
      <c r="BN15" s="29">
        <v>19.7</v>
      </c>
      <c r="BO15" s="27">
        <v>25.61</v>
      </c>
      <c r="BP15" s="27">
        <v>1.91</v>
      </c>
      <c r="BQ15" s="27">
        <v>3.6</v>
      </c>
      <c r="BS15" s="27">
        <v>11.4</v>
      </c>
      <c r="BT15" s="27">
        <f t="shared" si="1"/>
        <v>11.4</v>
      </c>
      <c r="BU15" s="27">
        <f t="shared" si="21"/>
        <v>1.2</v>
      </c>
      <c r="BV15" s="27">
        <v>4.7300000000000004</v>
      </c>
      <c r="BW15" s="27">
        <v>2.71</v>
      </c>
      <c r="BX15" s="27">
        <v>2.6</v>
      </c>
    </row>
    <row r="16" spans="1:76" ht="12.75" customHeight="1" x14ac:dyDescent="0.2">
      <c r="A16" s="29">
        <v>30.1</v>
      </c>
      <c r="B16" s="27">
        <f t="shared" si="0"/>
        <v>35.328638497652584</v>
      </c>
      <c r="C16" s="29">
        <f t="shared" si="11"/>
        <v>1.3</v>
      </c>
      <c r="D16" s="29">
        <v>47.4</v>
      </c>
      <c r="E16" s="27">
        <v>0.66</v>
      </c>
      <c r="F16" s="29">
        <v>8.5</v>
      </c>
      <c r="H16" s="27">
        <f t="shared" si="12"/>
        <v>1.3</v>
      </c>
      <c r="I16" s="27">
        <f t="shared" si="2"/>
        <v>13.073170731707318</v>
      </c>
      <c r="J16" s="27">
        <v>13.4</v>
      </c>
      <c r="K16" s="27">
        <v>81.06</v>
      </c>
      <c r="L16" s="27">
        <v>0.78</v>
      </c>
      <c r="M16" s="27">
        <v>4.0999999999999996</v>
      </c>
      <c r="O16" s="27">
        <f t="shared" si="13"/>
        <v>1.3</v>
      </c>
      <c r="P16" s="27">
        <f t="shared" si="3"/>
        <v>29.170731707317074</v>
      </c>
      <c r="Q16" s="27">
        <v>29.9</v>
      </c>
      <c r="R16" s="27">
        <v>74.650000000000006</v>
      </c>
      <c r="S16" s="27">
        <v>2.16</v>
      </c>
      <c r="T16" s="27">
        <v>48.1</v>
      </c>
      <c r="V16" s="27">
        <f t="shared" si="14"/>
        <v>1.3</v>
      </c>
      <c r="W16" s="27">
        <f t="shared" si="4"/>
        <v>78.243902439024396</v>
      </c>
      <c r="X16" s="27">
        <v>80.2</v>
      </c>
      <c r="Y16" s="27">
        <v>69.2</v>
      </c>
      <c r="Z16" s="27">
        <v>0.67</v>
      </c>
      <c r="AA16" s="27">
        <v>10.7</v>
      </c>
      <c r="AC16" s="27">
        <f>AC15+0.1</f>
        <v>1.3</v>
      </c>
      <c r="AD16" s="27">
        <f t="shared" si="5"/>
        <v>91.219512195121965</v>
      </c>
      <c r="AE16" s="27">
        <v>93.5</v>
      </c>
      <c r="AF16" s="27">
        <v>56.37</v>
      </c>
      <c r="AG16" s="27">
        <v>0.62</v>
      </c>
      <c r="AH16" s="27">
        <v>27.9</v>
      </c>
      <c r="AJ16" s="27">
        <f t="shared" si="16"/>
        <v>1.3</v>
      </c>
      <c r="AK16" s="27">
        <f t="shared" si="6"/>
        <v>70.731707317073173</v>
      </c>
      <c r="AL16" s="27">
        <v>72.5</v>
      </c>
      <c r="AM16" s="27">
        <v>25.68</v>
      </c>
      <c r="AN16" s="27">
        <v>0.67</v>
      </c>
      <c r="AO16" s="27">
        <v>20.100000000000001</v>
      </c>
      <c r="AQ16" s="27">
        <f t="shared" si="17"/>
        <v>1.3</v>
      </c>
      <c r="AR16" s="27">
        <f t="shared" si="7"/>
        <v>41.170731707317081</v>
      </c>
      <c r="AS16" s="27">
        <v>42.2</v>
      </c>
      <c r="AT16" s="27">
        <v>59.65</v>
      </c>
      <c r="AU16" s="27">
        <v>1.97</v>
      </c>
      <c r="AV16" s="27">
        <v>7</v>
      </c>
      <c r="AX16" s="27">
        <f t="shared" si="18"/>
        <v>1.3</v>
      </c>
      <c r="AY16" s="27">
        <f t="shared" si="8"/>
        <v>30.04878048780488</v>
      </c>
      <c r="AZ16" s="27">
        <v>30.8</v>
      </c>
      <c r="BA16" s="27">
        <v>37.799999999999997</v>
      </c>
      <c r="BB16" s="27">
        <v>1.95</v>
      </c>
      <c r="BC16" s="27">
        <v>5</v>
      </c>
      <c r="BE16" s="27">
        <f t="shared" si="19"/>
        <v>1.3</v>
      </c>
      <c r="BF16" s="27">
        <f t="shared" si="9"/>
        <v>40</v>
      </c>
      <c r="BG16" s="27">
        <v>41</v>
      </c>
      <c r="BH16" s="27">
        <v>40.200000000000003</v>
      </c>
      <c r="BI16" s="27">
        <v>1.95</v>
      </c>
      <c r="BJ16" s="27">
        <v>6.7</v>
      </c>
      <c r="BL16" s="27">
        <f t="shared" si="20"/>
        <v>1.3</v>
      </c>
      <c r="BM16" s="27">
        <f t="shared" si="10"/>
        <v>20.780487804878053</v>
      </c>
      <c r="BN16" s="29">
        <v>21.3</v>
      </c>
      <c r="BO16" s="27">
        <v>25.6</v>
      </c>
      <c r="BP16" s="27">
        <v>1.96</v>
      </c>
      <c r="BQ16" s="27">
        <v>3.6</v>
      </c>
      <c r="BS16" s="27">
        <v>13.1</v>
      </c>
      <c r="BT16" s="27">
        <f t="shared" si="1"/>
        <v>13.1</v>
      </c>
      <c r="BU16" s="27">
        <f t="shared" si="21"/>
        <v>1.3</v>
      </c>
      <c r="BV16" s="27">
        <v>4.7</v>
      </c>
      <c r="BW16" s="27">
        <v>2.79</v>
      </c>
      <c r="BX16" s="27">
        <v>3.2</v>
      </c>
    </row>
    <row r="17" spans="1:76" ht="12.75" customHeight="1" x14ac:dyDescent="0.2">
      <c r="A17" s="29">
        <v>30.7</v>
      </c>
      <c r="B17" s="27">
        <f t="shared" si="0"/>
        <v>36.032863849765256</v>
      </c>
      <c r="C17" s="29">
        <f t="shared" si="11"/>
        <v>1.4000000000000001</v>
      </c>
      <c r="D17" s="29">
        <v>47.4</v>
      </c>
      <c r="E17" s="27">
        <v>0.68</v>
      </c>
      <c r="F17" s="29">
        <v>6.7</v>
      </c>
      <c r="H17" s="27">
        <f t="shared" si="12"/>
        <v>1.4000000000000001</v>
      </c>
      <c r="I17" s="27">
        <f t="shared" si="2"/>
        <v>14.536585365853661</v>
      </c>
      <c r="J17" s="27">
        <v>14.9</v>
      </c>
      <c r="K17" s="27">
        <v>81.7</v>
      </c>
      <c r="L17" s="27">
        <v>0.84</v>
      </c>
      <c r="M17" s="27">
        <v>4.5</v>
      </c>
      <c r="O17" s="27">
        <f t="shared" si="13"/>
        <v>1.4000000000000001</v>
      </c>
      <c r="P17" s="27">
        <f t="shared" si="3"/>
        <v>33.658536585365859</v>
      </c>
      <c r="Q17" s="27">
        <v>34.5</v>
      </c>
      <c r="R17" s="27">
        <v>74.75</v>
      </c>
      <c r="S17" s="27">
        <v>2.2200000000000002</v>
      </c>
      <c r="T17" s="27">
        <v>51.1</v>
      </c>
      <c r="V17" s="27">
        <f t="shared" si="14"/>
        <v>1.4000000000000001</v>
      </c>
      <c r="W17" s="27">
        <f t="shared" si="4"/>
        <v>80.585365853658544</v>
      </c>
      <c r="X17" s="27">
        <v>82.6</v>
      </c>
      <c r="Y17" s="27">
        <v>69.3</v>
      </c>
      <c r="Z17" s="27">
        <v>0.69</v>
      </c>
      <c r="AA17" s="27">
        <v>4.0999999999999996</v>
      </c>
      <c r="AC17" s="27">
        <f>AC16+0.1</f>
        <v>1.4000000000000001</v>
      </c>
      <c r="AD17" s="27">
        <f t="shared" si="5"/>
        <v>96.878048780487816</v>
      </c>
      <c r="AE17" s="27">
        <v>99.3</v>
      </c>
      <c r="AF17" s="27">
        <v>56.37</v>
      </c>
      <c r="AG17" s="27">
        <v>0.66</v>
      </c>
      <c r="AH17" s="27">
        <v>28</v>
      </c>
      <c r="AQ17" s="27">
        <f t="shared" si="17"/>
        <v>1.4000000000000001</v>
      </c>
      <c r="AR17" s="27">
        <f t="shared" si="7"/>
        <v>44.487804878048784</v>
      </c>
      <c r="AS17" s="27">
        <v>45.6</v>
      </c>
      <c r="AT17" s="27">
        <v>59.7</v>
      </c>
      <c r="AU17" s="27">
        <v>2.2000000000000002</v>
      </c>
      <c r="AV17" s="27">
        <v>7</v>
      </c>
      <c r="AX17" s="27">
        <f t="shared" si="18"/>
        <v>1.4000000000000001</v>
      </c>
      <c r="AY17" s="27">
        <f t="shared" si="8"/>
        <v>32.292682926829272</v>
      </c>
      <c r="AZ17" s="27">
        <v>33.1</v>
      </c>
      <c r="BA17" s="27">
        <v>37.799999999999997</v>
      </c>
      <c r="BB17" s="27">
        <v>2</v>
      </c>
      <c r="BC17" s="27">
        <v>5</v>
      </c>
      <c r="BE17" s="27">
        <f t="shared" si="19"/>
        <v>1.4000000000000001</v>
      </c>
      <c r="BF17" s="27">
        <f t="shared" si="9"/>
        <v>43.121951219512205</v>
      </c>
      <c r="BG17" s="27">
        <v>44.2</v>
      </c>
      <c r="BH17" s="27">
        <v>40.200000000000003</v>
      </c>
      <c r="BI17" s="27">
        <v>2</v>
      </c>
      <c r="BJ17" s="27">
        <v>6.7</v>
      </c>
      <c r="BL17" s="27">
        <f t="shared" si="20"/>
        <v>1.4000000000000001</v>
      </c>
      <c r="BM17" s="27">
        <f t="shared" si="10"/>
        <v>22.439024390243905</v>
      </c>
      <c r="BN17" s="29">
        <v>23</v>
      </c>
      <c r="BO17" s="27">
        <v>25.6</v>
      </c>
      <c r="BP17" s="27">
        <v>2.0099999999999998</v>
      </c>
      <c r="BQ17" s="27">
        <v>3.6</v>
      </c>
      <c r="BS17" s="27">
        <v>15</v>
      </c>
      <c r="BT17" s="27">
        <f t="shared" si="1"/>
        <v>15</v>
      </c>
      <c r="BU17" s="27">
        <f t="shared" si="21"/>
        <v>1.4000000000000001</v>
      </c>
      <c r="BV17" s="27">
        <v>4.66</v>
      </c>
      <c r="BW17" s="27">
        <v>2.86</v>
      </c>
      <c r="BX17" s="27">
        <v>3.9</v>
      </c>
    </row>
    <row r="18" spans="1:76" ht="12.75" customHeight="1" x14ac:dyDescent="0.2">
      <c r="A18" s="29">
        <v>31.3</v>
      </c>
      <c r="B18" s="27">
        <f t="shared" si="0"/>
        <v>36.737089201877936</v>
      </c>
      <c r="C18" s="29">
        <f t="shared" si="11"/>
        <v>1.5000000000000002</v>
      </c>
      <c r="D18" s="29">
        <v>47.4</v>
      </c>
      <c r="E18" s="27">
        <v>0.69</v>
      </c>
      <c r="F18" s="29">
        <v>5</v>
      </c>
      <c r="H18" s="27">
        <f t="shared" si="12"/>
        <v>1.5000000000000002</v>
      </c>
      <c r="I18" s="27">
        <f t="shared" si="2"/>
        <v>16.097560975609756</v>
      </c>
      <c r="J18" s="27">
        <v>16.5</v>
      </c>
      <c r="K18" s="27">
        <v>81.8</v>
      </c>
      <c r="L18" s="27">
        <v>0.9</v>
      </c>
      <c r="M18" s="27">
        <v>4.9000000000000004</v>
      </c>
      <c r="O18" s="27">
        <f t="shared" si="13"/>
        <v>1.5000000000000002</v>
      </c>
      <c r="P18" s="27">
        <f t="shared" si="3"/>
        <v>38.341463414634148</v>
      </c>
      <c r="Q18" s="27">
        <v>39.299999999999997</v>
      </c>
      <c r="R18" s="27">
        <v>74.81</v>
      </c>
      <c r="S18" s="27">
        <v>2.27</v>
      </c>
      <c r="T18" s="27">
        <v>53.2</v>
      </c>
      <c r="V18" s="27">
        <f t="shared" si="14"/>
        <v>1.5000000000000002</v>
      </c>
      <c r="W18" s="27">
        <f t="shared" si="4"/>
        <v>82.341463414634163</v>
      </c>
      <c r="X18" s="27">
        <v>84.4</v>
      </c>
      <c r="Y18" s="27">
        <v>69.42</v>
      </c>
      <c r="Z18" s="27">
        <v>0.7</v>
      </c>
      <c r="AA18" s="27">
        <v>0.2</v>
      </c>
      <c r="AQ18" s="27">
        <f t="shared" si="17"/>
        <v>1.5000000000000002</v>
      </c>
      <c r="AR18" s="27">
        <f t="shared" si="7"/>
        <v>47.902439024390247</v>
      </c>
      <c r="AS18" s="27">
        <v>49.1</v>
      </c>
      <c r="AT18" s="27">
        <v>59.74</v>
      </c>
      <c r="AU18" s="27">
        <v>2.0699999999999998</v>
      </c>
      <c r="AV18" s="27">
        <v>7</v>
      </c>
      <c r="AX18" s="27">
        <f t="shared" si="18"/>
        <v>1.5000000000000002</v>
      </c>
      <c r="AY18" s="27">
        <f t="shared" si="8"/>
        <v>34.634146341463421</v>
      </c>
      <c r="AZ18" s="27">
        <v>35.5</v>
      </c>
      <c r="BA18" s="27">
        <v>37.799999999999997</v>
      </c>
      <c r="BB18" s="27">
        <v>2.0499999999999998</v>
      </c>
      <c r="BC18" s="27">
        <v>5</v>
      </c>
      <c r="BE18" s="27">
        <f t="shared" si="19"/>
        <v>1.5000000000000002</v>
      </c>
      <c r="BF18" s="27">
        <f t="shared" si="9"/>
        <v>46.146341463414636</v>
      </c>
      <c r="BG18" s="27">
        <v>47.3</v>
      </c>
      <c r="BH18" s="27">
        <v>40.200000000000003</v>
      </c>
      <c r="BI18" s="27">
        <v>2.0499999999999998</v>
      </c>
      <c r="BJ18" s="27">
        <v>6.7</v>
      </c>
      <c r="BL18" s="27">
        <f t="shared" si="20"/>
        <v>1.5000000000000002</v>
      </c>
      <c r="BM18" s="27">
        <f t="shared" si="10"/>
        <v>24.000000000000004</v>
      </c>
      <c r="BN18" s="29">
        <v>24.6</v>
      </c>
      <c r="BO18" s="27">
        <v>25.59</v>
      </c>
      <c r="BP18" s="27">
        <v>2.06</v>
      </c>
      <c r="BQ18" s="27">
        <v>3.6</v>
      </c>
      <c r="BS18" s="27">
        <v>17.2</v>
      </c>
      <c r="BT18" s="27">
        <f t="shared" si="1"/>
        <v>17.2</v>
      </c>
      <c r="BU18" s="27">
        <f t="shared" si="21"/>
        <v>1.5000000000000002</v>
      </c>
      <c r="BV18" s="27">
        <v>4.62</v>
      </c>
      <c r="BW18" s="27">
        <v>2.93</v>
      </c>
      <c r="BX18" s="27">
        <v>4.8</v>
      </c>
    </row>
    <row r="19" spans="1:76" ht="12.75" customHeight="1" x14ac:dyDescent="0.2">
      <c r="A19" s="29">
        <v>32</v>
      </c>
      <c r="B19" s="27">
        <f t="shared" si="0"/>
        <v>37.558685446009392</v>
      </c>
      <c r="C19" s="29">
        <f t="shared" si="11"/>
        <v>1.6000000000000003</v>
      </c>
      <c r="D19" s="29">
        <v>47.4</v>
      </c>
      <c r="E19" s="27">
        <v>0.71</v>
      </c>
      <c r="F19" s="29">
        <v>3.6</v>
      </c>
      <c r="H19" s="27">
        <f t="shared" si="12"/>
        <v>1.6000000000000003</v>
      </c>
      <c r="I19" s="27">
        <f t="shared" si="2"/>
        <v>17.658536585365855</v>
      </c>
      <c r="J19" s="27">
        <v>18.100000000000001</v>
      </c>
      <c r="K19" s="27">
        <v>81.09</v>
      </c>
      <c r="L19" s="27">
        <v>0.96</v>
      </c>
      <c r="M19" s="27">
        <v>5.3</v>
      </c>
      <c r="O19" s="27">
        <f t="shared" si="13"/>
        <v>1.6000000000000003</v>
      </c>
      <c r="P19" s="27">
        <f t="shared" si="3"/>
        <v>43.024390243902445</v>
      </c>
      <c r="Q19" s="27">
        <v>44.1</v>
      </c>
      <c r="R19" s="27">
        <v>74.819999999999993</v>
      </c>
      <c r="S19" s="27">
        <v>2.3199999999999998</v>
      </c>
      <c r="T19" s="27">
        <v>54.4</v>
      </c>
      <c r="V19" s="27">
        <f t="shared" si="14"/>
        <v>1.6000000000000003</v>
      </c>
      <c r="W19" s="27">
        <f t="shared" si="4"/>
        <v>84.097560975609767</v>
      </c>
      <c r="X19" s="27">
        <v>86.2</v>
      </c>
      <c r="Y19" s="27">
        <v>69.53</v>
      </c>
      <c r="Z19" s="27">
        <v>0.72</v>
      </c>
      <c r="AA19" s="27">
        <v>1.4</v>
      </c>
      <c r="AQ19" s="27">
        <f t="shared" si="17"/>
        <v>1.6000000000000003</v>
      </c>
      <c r="AR19" s="27">
        <f t="shared" si="7"/>
        <v>51.219512195121958</v>
      </c>
      <c r="AS19" s="27">
        <v>52.5</v>
      </c>
      <c r="AT19" s="27">
        <v>59.79</v>
      </c>
      <c r="AU19" s="27">
        <v>2.12</v>
      </c>
      <c r="AV19" s="27">
        <v>7.1</v>
      </c>
      <c r="AX19" s="27">
        <f t="shared" si="18"/>
        <v>1.6000000000000003</v>
      </c>
      <c r="AY19" s="27">
        <f t="shared" si="8"/>
        <v>36.878048780487802</v>
      </c>
      <c r="AZ19" s="27">
        <v>37.799999999999997</v>
      </c>
      <c r="BA19" s="27">
        <v>37.799999999999997</v>
      </c>
      <c r="BB19" s="27">
        <v>2.1</v>
      </c>
      <c r="BC19" s="27">
        <v>5</v>
      </c>
      <c r="BE19" s="27">
        <f t="shared" si="19"/>
        <v>1.6000000000000003</v>
      </c>
      <c r="BF19" s="27">
        <f t="shared" si="9"/>
        <v>49.170731707317074</v>
      </c>
      <c r="BG19" s="27">
        <v>50.4</v>
      </c>
      <c r="BH19" s="27">
        <v>40.200000000000003</v>
      </c>
      <c r="BI19" s="27">
        <v>2.1</v>
      </c>
      <c r="BJ19" s="27">
        <v>6.7</v>
      </c>
      <c r="BL19" s="27">
        <f t="shared" si="20"/>
        <v>1.6000000000000003</v>
      </c>
      <c r="BM19" s="27">
        <f t="shared" si="10"/>
        <v>25.658536585365855</v>
      </c>
      <c r="BN19" s="29">
        <v>26.3</v>
      </c>
      <c r="BO19" s="27">
        <v>25.58</v>
      </c>
      <c r="BP19" s="27">
        <f>BP18+0.05</f>
        <v>2.11</v>
      </c>
      <c r="BQ19" s="27">
        <v>3.6</v>
      </c>
      <c r="BS19" s="27">
        <v>19.5</v>
      </c>
      <c r="BT19" s="27">
        <f t="shared" si="1"/>
        <v>19.5</v>
      </c>
      <c r="BU19" s="27">
        <f t="shared" si="21"/>
        <v>1.6000000000000003</v>
      </c>
      <c r="BV19" s="27">
        <v>4.57</v>
      </c>
      <c r="BW19" s="27">
        <v>3.01</v>
      </c>
      <c r="BX19" s="27">
        <v>5.8</v>
      </c>
    </row>
    <row r="20" spans="1:76" ht="12.75" customHeight="1" x14ac:dyDescent="0.2">
      <c r="A20" s="29">
        <v>32.6</v>
      </c>
      <c r="B20" s="27">
        <f t="shared" si="0"/>
        <v>38.262910798122071</v>
      </c>
      <c r="C20" s="29">
        <f t="shared" si="11"/>
        <v>1.7000000000000004</v>
      </c>
      <c r="D20" s="29">
        <v>47.4</v>
      </c>
      <c r="E20" s="27">
        <v>0.73</v>
      </c>
      <c r="F20" s="29">
        <v>2.4</v>
      </c>
      <c r="H20" s="27">
        <f t="shared" si="12"/>
        <v>1.7000000000000004</v>
      </c>
      <c r="I20" s="27">
        <f t="shared" si="2"/>
        <v>19.219512195121951</v>
      </c>
      <c r="J20" s="27">
        <v>19.7</v>
      </c>
      <c r="K20" s="27">
        <v>81.09</v>
      </c>
      <c r="L20" s="27">
        <v>1.02</v>
      </c>
      <c r="M20" s="27">
        <v>5.7</v>
      </c>
      <c r="O20" s="27">
        <f t="shared" si="13"/>
        <v>1.7000000000000004</v>
      </c>
      <c r="P20" s="27">
        <f t="shared" si="3"/>
        <v>47.902439024390247</v>
      </c>
      <c r="Q20" s="27">
        <v>49.1</v>
      </c>
      <c r="R20" s="27">
        <v>74.790000000000006</v>
      </c>
      <c r="S20" s="27">
        <v>2.37</v>
      </c>
      <c r="T20" s="27">
        <v>54.7</v>
      </c>
      <c r="V20" s="27">
        <f t="shared" si="14"/>
        <v>1.7000000000000004</v>
      </c>
      <c r="W20" s="27">
        <f t="shared" si="4"/>
        <v>85.756097560975618</v>
      </c>
      <c r="X20" s="27">
        <v>87.9</v>
      </c>
      <c r="Y20" s="27">
        <v>69.64</v>
      </c>
      <c r="Z20" s="27">
        <v>0.74</v>
      </c>
      <c r="AA20" s="27">
        <v>1.2</v>
      </c>
      <c r="AQ20" s="27">
        <f t="shared" si="17"/>
        <v>1.7000000000000004</v>
      </c>
      <c r="AR20" s="27">
        <f t="shared" si="7"/>
        <v>54.536585365853661</v>
      </c>
      <c r="AS20" s="27">
        <v>55.9</v>
      </c>
      <c r="AT20" s="27">
        <v>59.84</v>
      </c>
      <c r="AU20" s="27">
        <v>2.17</v>
      </c>
      <c r="AV20" s="27">
        <v>7.1</v>
      </c>
      <c r="AX20" s="27">
        <f t="shared" si="18"/>
        <v>1.7000000000000004</v>
      </c>
      <c r="AY20" s="27">
        <f t="shared" si="8"/>
        <v>39.121951219512198</v>
      </c>
      <c r="AZ20" s="27">
        <v>40.1</v>
      </c>
      <c r="BA20" s="27">
        <v>37.799999999999997</v>
      </c>
      <c r="BB20" s="27">
        <v>2.15</v>
      </c>
      <c r="BC20" s="27">
        <v>5</v>
      </c>
      <c r="BE20" s="27">
        <f t="shared" si="19"/>
        <v>1.7000000000000004</v>
      </c>
      <c r="BF20" s="27">
        <f t="shared" si="9"/>
        <v>52.195121951219519</v>
      </c>
      <c r="BG20" s="27">
        <v>53.5</v>
      </c>
      <c r="BH20" s="27">
        <v>40.200000000000003</v>
      </c>
      <c r="BI20" s="27">
        <v>2.15</v>
      </c>
      <c r="BJ20" s="27">
        <v>6.7</v>
      </c>
      <c r="BL20" s="27">
        <f t="shared" si="20"/>
        <v>1.7000000000000004</v>
      </c>
      <c r="BM20" s="27">
        <f t="shared" si="10"/>
        <v>27.219512195121951</v>
      </c>
      <c r="BN20" s="29">
        <v>27.9</v>
      </c>
      <c r="BO20" s="27">
        <v>25.58</v>
      </c>
      <c r="BP20" s="27">
        <f t="shared" ref="BP20:BP56" si="22">BP19+0.05</f>
        <v>2.1599999999999997</v>
      </c>
      <c r="BQ20" s="27">
        <v>3.6</v>
      </c>
      <c r="BS20" s="27">
        <v>22.1</v>
      </c>
      <c r="BT20" s="27">
        <f t="shared" si="1"/>
        <v>22.1</v>
      </c>
      <c r="BU20" s="27">
        <f t="shared" si="21"/>
        <v>1.7000000000000004</v>
      </c>
      <c r="BV20" s="27">
        <v>4.5199999999999996</v>
      </c>
      <c r="BW20" s="27">
        <v>3.08</v>
      </c>
      <c r="BX20" s="27">
        <v>7</v>
      </c>
    </row>
    <row r="21" spans="1:76" ht="12.75" customHeight="1" x14ac:dyDescent="0.2">
      <c r="A21" s="29">
        <v>33.200000000000003</v>
      </c>
      <c r="B21" s="27">
        <f t="shared" si="0"/>
        <v>38.967136150234744</v>
      </c>
      <c r="C21" s="29">
        <f t="shared" si="11"/>
        <v>1.8000000000000005</v>
      </c>
      <c r="D21" s="29">
        <v>47.4</v>
      </c>
      <c r="E21" s="27">
        <v>0.75</v>
      </c>
      <c r="F21" s="29">
        <v>1.3</v>
      </c>
      <c r="H21" s="27">
        <f t="shared" si="12"/>
        <v>1.8000000000000005</v>
      </c>
      <c r="I21" s="27">
        <f t="shared" si="2"/>
        <v>20.878048780487806</v>
      </c>
      <c r="J21" s="27">
        <v>21.4</v>
      </c>
      <c r="K21" s="27">
        <v>81.099999999999994</v>
      </c>
      <c r="L21" s="27">
        <v>1.08</v>
      </c>
      <c r="M21" s="27">
        <v>6.1</v>
      </c>
      <c r="O21" s="27">
        <f t="shared" si="13"/>
        <v>1.8000000000000005</v>
      </c>
      <c r="P21" s="27">
        <f t="shared" si="3"/>
        <v>52.878048780487809</v>
      </c>
      <c r="Q21" s="27">
        <v>54.2</v>
      </c>
      <c r="R21" s="27">
        <v>74.73</v>
      </c>
      <c r="S21" s="27">
        <v>2.41</v>
      </c>
      <c r="T21" s="27">
        <v>54.7</v>
      </c>
      <c r="V21" s="27">
        <f t="shared" si="14"/>
        <v>1.8000000000000005</v>
      </c>
      <c r="W21" s="27">
        <f t="shared" si="4"/>
        <v>87.121951219512198</v>
      </c>
      <c r="X21" s="27">
        <v>89.3</v>
      </c>
      <c r="Y21" s="27">
        <v>69.73</v>
      </c>
      <c r="Z21" s="27">
        <v>0.75</v>
      </c>
      <c r="AA21" s="27">
        <v>1.2</v>
      </c>
      <c r="AQ21" s="27">
        <f t="shared" si="17"/>
        <v>1.8000000000000005</v>
      </c>
      <c r="AR21" s="27">
        <f t="shared" si="7"/>
        <v>57.951219512195124</v>
      </c>
      <c r="AS21" s="27">
        <v>59.4</v>
      </c>
      <c r="AT21" s="27">
        <v>59.88</v>
      </c>
      <c r="AU21" s="27">
        <v>2.2200000000000002</v>
      </c>
      <c r="AV21" s="27">
        <v>7.1</v>
      </c>
      <c r="AX21" s="27">
        <f t="shared" si="18"/>
        <v>1.8000000000000005</v>
      </c>
      <c r="AY21" s="27">
        <f t="shared" si="8"/>
        <v>41.463414634146346</v>
      </c>
      <c r="AZ21" s="27">
        <v>42.5</v>
      </c>
      <c r="BA21" s="27">
        <v>37.799999999999997</v>
      </c>
      <c r="BB21" s="27">
        <v>2.2000000000000002</v>
      </c>
      <c r="BC21" s="27">
        <v>5</v>
      </c>
      <c r="BE21" s="27">
        <f t="shared" si="19"/>
        <v>1.8000000000000005</v>
      </c>
      <c r="BF21" s="27">
        <f t="shared" si="9"/>
        <v>55.219512195121958</v>
      </c>
      <c r="BG21" s="27">
        <v>56.6</v>
      </c>
      <c r="BH21" s="27">
        <v>40.200000000000003</v>
      </c>
      <c r="BI21" s="27">
        <v>2.2000000000000002</v>
      </c>
      <c r="BJ21" s="27">
        <v>6.7</v>
      </c>
      <c r="BL21" s="27">
        <f t="shared" si="20"/>
        <v>1.8000000000000005</v>
      </c>
      <c r="BM21" s="27">
        <f t="shared" si="10"/>
        <v>28.878048780487809</v>
      </c>
      <c r="BN21" s="29">
        <v>29.6</v>
      </c>
      <c r="BO21" s="27">
        <v>25.57</v>
      </c>
      <c r="BP21" s="27">
        <f t="shared" si="22"/>
        <v>2.2099999999999995</v>
      </c>
      <c r="BQ21" s="27">
        <v>3.6</v>
      </c>
      <c r="BS21" s="27">
        <v>25</v>
      </c>
      <c r="BT21" s="27">
        <f t="shared" si="1"/>
        <v>25</v>
      </c>
      <c r="BU21" s="27">
        <f t="shared" si="21"/>
        <v>1.8000000000000005</v>
      </c>
      <c r="BV21" s="27">
        <v>4.47</v>
      </c>
      <c r="BW21" s="27">
        <v>3.16</v>
      </c>
      <c r="BX21" s="27">
        <v>8.4</v>
      </c>
    </row>
    <row r="22" spans="1:76" ht="12.75" customHeight="1" x14ac:dyDescent="0.2">
      <c r="A22" s="29">
        <v>33.9</v>
      </c>
      <c r="B22" s="27">
        <f t="shared" si="0"/>
        <v>39.7887323943662</v>
      </c>
      <c r="C22" s="29">
        <f t="shared" si="11"/>
        <v>1.9000000000000006</v>
      </c>
      <c r="D22" s="29">
        <v>47.4</v>
      </c>
      <c r="E22" s="27">
        <v>0.77</v>
      </c>
      <c r="F22" s="29">
        <v>0.5</v>
      </c>
      <c r="H22" s="27">
        <f t="shared" si="12"/>
        <v>1.9000000000000006</v>
      </c>
      <c r="I22" s="27">
        <f t="shared" si="2"/>
        <v>22.634146341463417</v>
      </c>
      <c r="J22" s="27">
        <v>23.2</v>
      </c>
      <c r="K22" s="27">
        <v>81.11</v>
      </c>
      <c r="L22" s="27">
        <v>1.1399999999999999</v>
      </c>
      <c r="M22" s="27">
        <v>6.6</v>
      </c>
      <c r="O22" s="27">
        <f t="shared" si="13"/>
        <v>1.9000000000000006</v>
      </c>
      <c r="P22" s="27">
        <f t="shared" si="3"/>
        <v>57.756097560975618</v>
      </c>
      <c r="Q22" s="27">
        <v>59.2</v>
      </c>
      <c r="R22" s="27">
        <v>74.739999999999995</v>
      </c>
      <c r="S22" s="27">
        <v>2.4700000000000002</v>
      </c>
      <c r="T22" s="27">
        <v>56.4</v>
      </c>
      <c r="V22" s="27">
        <f t="shared" si="14"/>
        <v>1.9000000000000006</v>
      </c>
      <c r="W22" s="27">
        <f t="shared" si="4"/>
        <v>88.780487804878049</v>
      </c>
      <c r="X22" s="27">
        <v>91</v>
      </c>
      <c r="Y22" s="27">
        <v>69.84</v>
      </c>
      <c r="Z22" s="27">
        <v>0.77</v>
      </c>
      <c r="AA22" s="27">
        <v>1.3</v>
      </c>
      <c r="AQ22" s="27">
        <f t="shared" si="17"/>
        <v>1.9000000000000006</v>
      </c>
      <c r="AR22" s="27">
        <f t="shared" si="7"/>
        <v>61.365853658536587</v>
      </c>
      <c r="AS22" s="27">
        <v>62.9</v>
      </c>
      <c r="AT22" s="27">
        <v>59.92</v>
      </c>
      <c r="AU22" s="27">
        <v>2.2799999999999998</v>
      </c>
      <c r="AV22" s="27">
        <v>7.2</v>
      </c>
      <c r="AX22" s="27">
        <f t="shared" si="18"/>
        <v>1.9000000000000006</v>
      </c>
      <c r="AY22" s="27">
        <f t="shared" si="8"/>
        <v>43.707317073170735</v>
      </c>
      <c r="AZ22" s="27">
        <v>44.8</v>
      </c>
      <c r="BA22" s="27">
        <v>37.799999999999997</v>
      </c>
      <c r="BB22" s="27">
        <v>2.25</v>
      </c>
      <c r="BC22" s="27">
        <v>5</v>
      </c>
      <c r="BE22" s="27">
        <f t="shared" si="19"/>
        <v>1.9000000000000006</v>
      </c>
      <c r="BF22" s="27">
        <f t="shared" si="9"/>
        <v>58.243902439024396</v>
      </c>
      <c r="BG22" s="27">
        <v>59.7</v>
      </c>
      <c r="BH22" s="27">
        <v>40.200000000000003</v>
      </c>
      <c r="BI22" s="27">
        <v>2.25</v>
      </c>
      <c r="BJ22" s="27">
        <v>6.7</v>
      </c>
      <c r="BL22" s="27">
        <f t="shared" si="20"/>
        <v>1.9000000000000006</v>
      </c>
      <c r="BM22" s="27">
        <f t="shared" si="10"/>
        <v>30.536585365853661</v>
      </c>
      <c r="BN22" s="29">
        <v>31.3</v>
      </c>
      <c r="BO22" s="27">
        <v>25.57</v>
      </c>
      <c r="BP22" s="27">
        <f t="shared" si="22"/>
        <v>2.2599999999999993</v>
      </c>
      <c r="BQ22" s="27">
        <v>3.6</v>
      </c>
      <c r="BS22" s="27">
        <v>28.1</v>
      </c>
      <c r="BT22" s="27">
        <f t="shared" si="1"/>
        <v>28.1</v>
      </c>
      <c r="BU22" s="27">
        <f t="shared" si="21"/>
        <v>1.9000000000000006</v>
      </c>
      <c r="BV22" s="27">
        <v>4.43</v>
      </c>
      <c r="BW22" s="27">
        <v>3.23</v>
      </c>
      <c r="BX22" s="27">
        <v>10</v>
      </c>
    </row>
    <row r="23" spans="1:76" ht="12.75" customHeight="1" x14ac:dyDescent="0.2">
      <c r="A23" s="29">
        <v>34.5</v>
      </c>
      <c r="B23" s="27">
        <f t="shared" si="0"/>
        <v>40.492957746478872</v>
      </c>
      <c r="C23" s="29">
        <f t="shared" si="11"/>
        <v>2.0000000000000004</v>
      </c>
      <c r="D23" s="29">
        <v>47.4</v>
      </c>
      <c r="E23" s="27">
        <v>0.79</v>
      </c>
      <c r="F23" s="29">
        <v>-0.1</v>
      </c>
      <c r="H23" s="27">
        <f t="shared" si="12"/>
        <v>2.0000000000000004</v>
      </c>
      <c r="I23" s="27">
        <f t="shared" si="2"/>
        <v>24.195121951219516</v>
      </c>
      <c r="J23" s="27">
        <v>24.8</v>
      </c>
      <c r="K23" s="27">
        <v>81.12</v>
      </c>
      <c r="L23" s="27">
        <v>1.19</v>
      </c>
      <c r="M23" s="27">
        <v>6.9</v>
      </c>
      <c r="O23" s="27">
        <f t="shared" si="13"/>
        <v>2.0000000000000004</v>
      </c>
      <c r="P23" s="27">
        <f t="shared" si="3"/>
        <v>62.82926829268294</v>
      </c>
      <c r="Q23" s="27">
        <v>64.400000000000006</v>
      </c>
      <c r="R23" s="27">
        <v>74.75</v>
      </c>
      <c r="S23" s="27">
        <v>2.52</v>
      </c>
      <c r="T23" s="27">
        <v>50.8</v>
      </c>
      <c r="V23" s="27">
        <f t="shared" si="14"/>
        <v>2.0000000000000004</v>
      </c>
      <c r="W23" s="27">
        <f t="shared" si="4"/>
        <v>89.560975609756099</v>
      </c>
      <c r="X23" s="27">
        <v>91.8</v>
      </c>
      <c r="Y23" s="27">
        <v>69.89</v>
      </c>
      <c r="Z23" s="27">
        <v>0.79</v>
      </c>
      <c r="AA23" s="27">
        <v>1.3</v>
      </c>
      <c r="AQ23" s="27">
        <f t="shared" si="17"/>
        <v>2.0000000000000004</v>
      </c>
      <c r="AR23" s="27">
        <f t="shared" si="7"/>
        <v>64.780487804878064</v>
      </c>
      <c r="AS23" s="27">
        <v>66.400000000000006</v>
      </c>
      <c r="AT23" s="27">
        <v>59.96</v>
      </c>
      <c r="AU23" s="27">
        <v>2.33</v>
      </c>
      <c r="AV23" s="27">
        <v>7.2</v>
      </c>
      <c r="AX23" s="27">
        <f t="shared" si="18"/>
        <v>2.0000000000000004</v>
      </c>
      <c r="AY23" s="27">
        <f t="shared" si="8"/>
        <v>45.951219512195131</v>
      </c>
      <c r="AZ23" s="27">
        <v>47.1</v>
      </c>
      <c r="BA23" s="27">
        <v>37.799999999999997</v>
      </c>
      <c r="BB23" s="27">
        <v>2.2999999999999998</v>
      </c>
      <c r="BC23" s="27">
        <v>5</v>
      </c>
      <c r="BE23" s="27">
        <f t="shared" si="19"/>
        <v>2.0000000000000004</v>
      </c>
      <c r="BF23" s="27">
        <f t="shared" si="9"/>
        <v>61.268292682926834</v>
      </c>
      <c r="BG23" s="27">
        <v>62.8</v>
      </c>
      <c r="BH23" s="27">
        <v>40.200000000000003</v>
      </c>
      <c r="BI23" s="27">
        <v>2.2999999999999998</v>
      </c>
      <c r="BJ23" s="27">
        <v>6.7</v>
      </c>
      <c r="BL23" s="27">
        <f t="shared" si="20"/>
        <v>2.0000000000000004</v>
      </c>
      <c r="BM23" s="27">
        <f t="shared" si="10"/>
        <v>32.09756097560976</v>
      </c>
      <c r="BN23" s="29">
        <v>32.9</v>
      </c>
      <c r="BO23" s="27">
        <v>25.56</v>
      </c>
      <c r="BP23" s="27">
        <f t="shared" si="22"/>
        <v>2.3099999999999992</v>
      </c>
      <c r="BQ23" s="27">
        <v>3.6</v>
      </c>
      <c r="BS23" s="27">
        <v>31.4</v>
      </c>
      <c r="BT23" s="27">
        <f t="shared" si="1"/>
        <v>31.4</v>
      </c>
      <c r="BU23" s="27">
        <f t="shared" si="21"/>
        <v>2.0000000000000004</v>
      </c>
      <c r="BV23" s="27">
        <v>4.38</v>
      </c>
      <c r="BW23" s="27">
        <v>3.31</v>
      </c>
      <c r="BX23" s="27">
        <v>11.6</v>
      </c>
    </row>
    <row r="24" spans="1:76" ht="12.75" customHeight="1" x14ac:dyDescent="0.2">
      <c r="A24" s="29">
        <v>35.1</v>
      </c>
      <c r="B24" s="27">
        <f t="shared" si="0"/>
        <v>41.197183098591552</v>
      </c>
      <c r="C24" s="29">
        <f t="shared" si="11"/>
        <v>2.1000000000000005</v>
      </c>
      <c r="D24" s="29">
        <v>47.4</v>
      </c>
      <c r="E24" s="27">
        <v>0.82</v>
      </c>
      <c r="F24" s="29">
        <v>-0.6</v>
      </c>
      <c r="H24" s="27">
        <f t="shared" si="12"/>
        <v>2.1000000000000005</v>
      </c>
      <c r="I24" s="27">
        <f t="shared" si="2"/>
        <v>25.658536585365855</v>
      </c>
      <c r="J24" s="27">
        <v>26.3</v>
      </c>
      <c r="K24" s="27">
        <v>81.14</v>
      </c>
      <c r="L24" s="27">
        <v>1.25</v>
      </c>
      <c r="M24" s="27">
        <v>7.3</v>
      </c>
      <c r="O24" s="27">
        <f t="shared" si="13"/>
        <v>2.1000000000000005</v>
      </c>
      <c r="P24" s="27">
        <f t="shared" si="3"/>
        <v>67.902439024390247</v>
      </c>
      <c r="Q24" s="27">
        <v>69.599999999999994</v>
      </c>
      <c r="R24" s="27">
        <v>74.760000000000005</v>
      </c>
      <c r="S24" s="27">
        <v>2.57</v>
      </c>
      <c r="T24" s="27">
        <v>59.6</v>
      </c>
      <c r="AQ24" s="27">
        <f t="shared" si="17"/>
        <v>2.1000000000000005</v>
      </c>
      <c r="AR24" s="27">
        <f t="shared" si="7"/>
        <v>68.195121951219519</v>
      </c>
      <c r="AS24" s="27">
        <v>69.900000000000006</v>
      </c>
      <c r="AT24" s="27">
        <v>60</v>
      </c>
      <c r="AU24" s="27">
        <v>2.38</v>
      </c>
      <c r="AV24" s="27">
        <v>7.2</v>
      </c>
      <c r="AX24" s="27">
        <f t="shared" si="18"/>
        <v>2.1000000000000005</v>
      </c>
      <c r="AY24" s="27">
        <f t="shared" si="8"/>
        <v>48.292682926829272</v>
      </c>
      <c r="AZ24" s="27">
        <v>49.5</v>
      </c>
      <c r="BA24" s="27">
        <v>37.799999999999997</v>
      </c>
      <c r="BB24" s="27">
        <v>2.35</v>
      </c>
      <c r="BC24" s="27">
        <v>5</v>
      </c>
      <c r="BE24" s="27">
        <f t="shared" si="19"/>
        <v>2.1000000000000005</v>
      </c>
      <c r="BF24" s="27">
        <f t="shared" si="9"/>
        <v>64.292682926829286</v>
      </c>
      <c r="BG24" s="27">
        <v>65.900000000000006</v>
      </c>
      <c r="BH24" s="27">
        <v>40.200000000000003</v>
      </c>
      <c r="BI24" s="27">
        <v>2.35</v>
      </c>
      <c r="BJ24" s="27">
        <v>6.7</v>
      </c>
      <c r="BL24" s="27">
        <f t="shared" si="20"/>
        <v>2.1000000000000005</v>
      </c>
      <c r="BM24" s="27">
        <f t="shared" si="10"/>
        <v>33.756097560975611</v>
      </c>
      <c r="BN24" s="29">
        <v>34.6</v>
      </c>
      <c r="BO24" s="27">
        <v>25.56</v>
      </c>
      <c r="BP24" s="27">
        <f t="shared" si="22"/>
        <v>2.359999999999999</v>
      </c>
      <c r="BQ24" s="27">
        <v>3.6</v>
      </c>
      <c r="BS24" s="27">
        <v>34.9</v>
      </c>
      <c r="BT24" s="27">
        <f t="shared" si="1"/>
        <v>34.9</v>
      </c>
      <c r="BU24" s="27">
        <f t="shared" si="21"/>
        <v>2.1000000000000005</v>
      </c>
      <c r="BV24" s="27">
        <v>4.33</v>
      </c>
      <c r="BW24" s="27">
        <v>3.38</v>
      </c>
      <c r="BX24" s="27">
        <v>13.4</v>
      </c>
    </row>
    <row r="25" spans="1:76" ht="12.75" customHeight="1" x14ac:dyDescent="0.2">
      <c r="A25" s="29">
        <v>35.799999999999997</v>
      </c>
      <c r="B25" s="27">
        <f t="shared" si="0"/>
        <v>42.018779342723001</v>
      </c>
      <c r="C25" s="29">
        <f t="shared" si="11"/>
        <v>2.2000000000000006</v>
      </c>
      <c r="D25" s="29">
        <v>47.4</v>
      </c>
      <c r="E25" s="27">
        <v>0.84</v>
      </c>
      <c r="F25" s="29">
        <v>-0.8</v>
      </c>
      <c r="H25" s="27">
        <f t="shared" si="12"/>
        <v>2.2000000000000006</v>
      </c>
      <c r="I25" s="27">
        <f t="shared" si="2"/>
        <v>27.219512195121951</v>
      </c>
      <c r="J25" s="27">
        <v>27.9</v>
      </c>
      <c r="K25" s="27">
        <v>81.150000000000006</v>
      </c>
      <c r="L25" s="27">
        <v>1.3</v>
      </c>
      <c r="M25" s="27">
        <v>7.7</v>
      </c>
      <c r="O25" s="27">
        <f t="shared" si="13"/>
        <v>2.2000000000000006</v>
      </c>
      <c r="P25" s="27">
        <f t="shared" si="3"/>
        <v>73.073170731707336</v>
      </c>
      <c r="Q25" s="27">
        <v>74.900000000000006</v>
      </c>
      <c r="R25" s="27">
        <v>74.77</v>
      </c>
      <c r="S25" s="27">
        <v>2.62</v>
      </c>
      <c r="T25" s="27">
        <v>61.3</v>
      </c>
      <c r="AQ25" s="27">
        <f t="shared" si="17"/>
        <v>2.2000000000000006</v>
      </c>
      <c r="AR25" s="27">
        <f t="shared" si="7"/>
        <v>71.609756097560989</v>
      </c>
      <c r="AS25" s="27">
        <v>73.400000000000006</v>
      </c>
      <c r="AT25" s="27">
        <v>60.4</v>
      </c>
      <c r="AU25" s="27">
        <v>2.4300000000000002</v>
      </c>
      <c r="AV25" s="27">
        <v>7.3</v>
      </c>
      <c r="AX25" s="27">
        <f t="shared" si="18"/>
        <v>2.2000000000000006</v>
      </c>
      <c r="AY25" s="27">
        <f t="shared" si="8"/>
        <v>50.536585365853661</v>
      </c>
      <c r="AZ25" s="27">
        <v>51.8</v>
      </c>
      <c r="BA25" s="27">
        <v>37.799999999999997</v>
      </c>
      <c r="BB25" s="27">
        <v>2.4</v>
      </c>
      <c r="BC25" s="27">
        <v>5</v>
      </c>
      <c r="BE25" s="27">
        <f t="shared" si="19"/>
        <v>2.2000000000000006</v>
      </c>
      <c r="BF25" s="27">
        <f t="shared" si="9"/>
        <v>67.317073170731717</v>
      </c>
      <c r="BG25" s="27">
        <v>69</v>
      </c>
      <c r="BH25" s="27">
        <v>40.200000000000003</v>
      </c>
      <c r="BI25" s="27">
        <v>2.4</v>
      </c>
      <c r="BJ25" s="27">
        <v>6.7</v>
      </c>
      <c r="BL25" s="27">
        <f t="shared" si="20"/>
        <v>2.2000000000000006</v>
      </c>
      <c r="BM25" s="27">
        <f t="shared" si="10"/>
        <v>35.31707317073171</v>
      </c>
      <c r="BN25" s="29">
        <v>36.200000000000003</v>
      </c>
      <c r="BO25" s="27">
        <v>25.55</v>
      </c>
      <c r="BP25" s="27">
        <f t="shared" si="22"/>
        <v>2.4099999999999988</v>
      </c>
      <c r="BQ25" s="27">
        <v>3.6</v>
      </c>
      <c r="BS25" s="27">
        <v>38.6</v>
      </c>
      <c r="BT25" s="27">
        <f t="shared" si="1"/>
        <v>38.6</v>
      </c>
      <c r="BU25" s="27">
        <f t="shared" si="21"/>
        <v>2.2000000000000006</v>
      </c>
      <c r="BV25" s="27">
        <v>4.29</v>
      </c>
      <c r="BW25" s="27">
        <v>3.46</v>
      </c>
      <c r="BX25" s="27">
        <v>15.3</v>
      </c>
    </row>
    <row r="26" spans="1:76" ht="12.75" customHeight="1" x14ac:dyDescent="0.2">
      <c r="A26" s="29">
        <v>36.4</v>
      </c>
      <c r="B26" s="27">
        <f t="shared" si="0"/>
        <v>42.72300469483568</v>
      </c>
      <c r="C26" s="29">
        <f t="shared" si="11"/>
        <v>2.3000000000000007</v>
      </c>
      <c r="D26" s="29">
        <v>47.4</v>
      </c>
      <c r="E26" s="27">
        <v>0.86</v>
      </c>
      <c r="F26" s="29">
        <v>-0.9</v>
      </c>
      <c r="H26" s="27">
        <f t="shared" si="12"/>
        <v>2.3000000000000007</v>
      </c>
      <c r="I26" s="27">
        <f t="shared" si="2"/>
        <v>28.878048780487809</v>
      </c>
      <c r="J26" s="27">
        <v>29.6</v>
      </c>
      <c r="K26" s="27">
        <v>81.16</v>
      </c>
      <c r="L26" s="27">
        <v>1.35</v>
      </c>
      <c r="M26" s="27">
        <v>8.1999999999999993</v>
      </c>
      <c r="O26" s="27">
        <f t="shared" si="13"/>
        <v>2.3000000000000007</v>
      </c>
      <c r="P26" s="27">
        <f t="shared" si="3"/>
        <v>78.243902439024396</v>
      </c>
      <c r="Q26" s="27">
        <v>80.2</v>
      </c>
      <c r="R26" s="27">
        <v>74.78</v>
      </c>
      <c r="S26" s="27">
        <v>2.68</v>
      </c>
      <c r="T26" s="27">
        <v>63</v>
      </c>
      <c r="AQ26" s="27">
        <f t="shared" si="17"/>
        <v>2.3000000000000007</v>
      </c>
      <c r="AR26" s="27">
        <f t="shared" si="7"/>
        <v>75.121951219512198</v>
      </c>
      <c r="AS26" s="27">
        <v>77</v>
      </c>
      <c r="AT26" s="27">
        <v>60.7</v>
      </c>
      <c r="AU26" s="27">
        <v>2.48</v>
      </c>
      <c r="AV26" s="27">
        <v>7.3</v>
      </c>
      <c r="AX26" s="27">
        <f t="shared" si="18"/>
        <v>2.3000000000000007</v>
      </c>
      <c r="AY26" s="27">
        <f t="shared" si="8"/>
        <v>52.780487804878057</v>
      </c>
      <c r="AZ26" s="27">
        <v>54.1</v>
      </c>
      <c r="BA26" s="27">
        <v>37.799999999999997</v>
      </c>
      <c r="BB26" s="27">
        <v>2.4500000000000002</v>
      </c>
      <c r="BC26" s="27">
        <v>5</v>
      </c>
      <c r="BE26" s="27">
        <f t="shared" si="19"/>
        <v>2.3000000000000007</v>
      </c>
      <c r="BF26" s="27">
        <f t="shared" si="9"/>
        <v>70.341463414634148</v>
      </c>
      <c r="BG26" s="27">
        <v>72.099999999999994</v>
      </c>
      <c r="BH26" s="27">
        <v>40.200000000000003</v>
      </c>
      <c r="BI26" s="27">
        <v>2.4500000000000002</v>
      </c>
      <c r="BJ26" s="27">
        <v>6.7</v>
      </c>
      <c r="BL26" s="27">
        <f t="shared" si="20"/>
        <v>2.3000000000000007</v>
      </c>
      <c r="BM26" s="27">
        <f t="shared" si="10"/>
        <v>36.975609756097562</v>
      </c>
      <c r="BN26" s="29">
        <v>37.9</v>
      </c>
      <c r="BO26" s="27">
        <v>25.55</v>
      </c>
      <c r="BP26" s="27">
        <f t="shared" si="22"/>
        <v>2.4599999999999986</v>
      </c>
      <c r="BQ26" s="27">
        <v>3.6</v>
      </c>
      <c r="BS26" s="27">
        <v>42.5</v>
      </c>
      <c r="BT26" s="27">
        <f t="shared" si="1"/>
        <v>42.5</v>
      </c>
      <c r="BU26" s="27">
        <f t="shared" si="21"/>
        <v>2.3000000000000007</v>
      </c>
      <c r="BV26" s="27">
        <v>4.25</v>
      </c>
      <c r="BW26" s="27">
        <v>3.53</v>
      </c>
      <c r="BX26" s="27">
        <v>17.2</v>
      </c>
    </row>
    <row r="27" spans="1:76" ht="12.75" customHeight="1" x14ac:dyDescent="0.2">
      <c r="A27" s="29">
        <v>37</v>
      </c>
      <c r="B27" s="27">
        <f t="shared" si="0"/>
        <v>43.42723004694836</v>
      </c>
      <c r="C27" s="29">
        <f t="shared" si="11"/>
        <v>2.4000000000000008</v>
      </c>
      <c r="D27" s="29">
        <v>47.4</v>
      </c>
      <c r="E27" s="27">
        <v>0.89</v>
      </c>
      <c r="F27" s="29">
        <v>-0.7</v>
      </c>
      <c r="H27" s="27">
        <f t="shared" si="12"/>
        <v>2.4000000000000008</v>
      </c>
      <c r="I27" s="27">
        <f t="shared" si="2"/>
        <v>30.536585365853661</v>
      </c>
      <c r="J27" s="27">
        <v>31.3</v>
      </c>
      <c r="K27" s="27">
        <v>81.180000000000007</v>
      </c>
      <c r="L27" s="27">
        <v>1.41</v>
      </c>
      <c r="M27" s="27">
        <v>8.6</v>
      </c>
      <c r="O27" s="27">
        <f t="shared" si="13"/>
        <v>2.4000000000000008</v>
      </c>
      <c r="P27" s="27">
        <f t="shared" si="3"/>
        <v>83.512195121951223</v>
      </c>
      <c r="Q27" s="27">
        <v>85.6</v>
      </c>
      <c r="R27" s="27">
        <v>74.790000000000006</v>
      </c>
      <c r="S27" s="27">
        <v>2.73</v>
      </c>
      <c r="T27" s="27">
        <v>64.7</v>
      </c>
      <c r="AQ27" s="27">
        <f t="shared" si="17"/>
        <v>2.4000000000000008</v>
      </c>
      <c r="AR27" s="27">
        <f t="shared" si="7"/>
        <v>78.536585365853668</v>
      </c>
      <c r="AS27" s="27">
        <v>80.5</v>
      </c>
      <c r="AT27" s="27">
        <v>60.11</v>
      </c>
      <c r="AU27" s="27">
        <v>2.54</v>
      </c>
      <c r="AV27" s="27">
        <v>7.4</v>
      </c>
      <c r="AX27" s="27">
        <f t="shared" si="18"/>
        <v>2.4000000000000008</v>
      </c>
      <c r="AY27" s="27">
        <f t="shared" si="8"/>
        <v>55.024390243902445</v>
      </c>
      <c r="AZ27" s="27">
        <v>56.4</v>
      </c>
      <c r="BA27" s="27">
        <v>37.799999999999997</v>
      </c>
      <c r="BB27" s="27">
        <v>2.5</v>
      </c>
      <c r="BC27" s="27">
        <v>5</v>
      </c>
      <c r="BE27" s="27">
        <f t="shared" si="19"/>
        <v>2.4000000000000008</v>
      </c>
      <c r="BF27" s="27">
        <f t="shared" si="9"/>
        <v>73.463414634146346</v>
      </c>
      <c r="BG27" s="27">
        <v>75.3</v>
      </c>
      <c r="BH27" s="27">
        <v>40.200000000000003</v>
      </c>
      <c r="BI27" s="27">
        <v>2.5</v>
      </c>
      <c r="BJ27" s="27">
        <v>6.7</v>
      </c>
      <c r="BL27" s="27">
        <f t="shared" si="20"/>
        <v>2.4000000000000008</v>
      </c>
      <c r="BM27" s="27">
        <f t="shared" si="10"/>
        <v>38.634146341463421</v>
      </c>
      <c r="BN27" s="29">
        <v>39.6</v>
      </c>
      <c r="BO27" s="27">
        <v>25.55</v>
      </c>
      <c r="BP27" s="27">
        <f t="shared" si="22"/>
        <v>2.5099999999999985</v>
      </c>
      <c r="BQ27" s="27">
        <v>3.6</v>
      </c>
      <c r="BS27" s="27">
        <v>46.6</v>
      </c>
      <c r="BT27" s="27">
        <f t="shared" si="1"/>
        <v>46.6</v>
      </c>
      <c r="BU27" s="27">
        <f t="shared" si="21"/>
        <v>2.4000000000000008</v>
      </c>
      <c r="BV27" s="27">
        <v>4.21</v>
      </c>
      <c r="BW27" s="27">
        <v>3.6</v>
      </c>
      <c r="BX27" s="27">
        <v>19.3</v>
      </c>
    </row>
    <row r="28" spans="1:76" ht="12.75" customHeight="1" x14ac:dyDescent="0.2">
      <c r="A28" s="29">
        <v>37.700000000000003</v>
      </c>
      <c r="B28" s="27">
        <f t="shared" si="0"/>
        <v>44.248826291079816</v>
      </c>
      <c r="C28" s="29">
        <f t="shared" si="11"/>
        <v>2.5000000000000009</v>
      </c>
      <c r="D28" s="29">
        <v>47.4</v>
      </c>
      <c r="E28" s="27">
        <v>0.91</v>
      </c>
      <c r="F28" s="29">
        <v>-0.4</v>
      </c>
      <c r="H28" s="27">
        <f t="shared" si="12"/>
        <v>2.5000000000000009</v>
      </c>
      <c r="I28" s="27">
        <f t="shared" si="2"/>
        <v>32.195121951219512</v>
      </c>
      <c r="J28" s="27">
        <v>33</v>
      </c>
      <c r="K28" s="27">
        <v>81.19</v>
      </c>
      <c r="L28" s="27">
        <v>1.46</v>
      </c>
      <c r="M28" s="27">
        <v>9.1</v>
      </c>
      <c r="O28" s="27">
        <f t="shared" si="13"/>
        <v>2.5000000000000009</v>
      </c>
      <c r="P28" s="27">
        <f t="shared" si="3"/>
        <v>88.878048780487802</v>
      </c>
      <c r="Q28" s="27">
        <v>91.1</v>
      </c>
      <c r="R28" s="27">
        <v>74.790000000000006</v>
      </c>
      <c r="S28" s="27">
        <v>2.78</v>
      </c>
      <c r="T28" s="27">
        <v>66.400000000000006</v>
      </c>
      <c r="AQ28" s="27">
        <f t="shared" si="17"/>
        <v>2.5000000000000009</v>
      </c>
      <c r="AR28" s="27">
        <f t="shared" si="7"/>
        <v>82.048780487804876</v>
      </c>
      <c r="AS28" s="27">
        <v>84.1</v>
      </c>
      <c r="AT28" s="27">
        <v>60.14</v>
      </c>
      <c r="AU28" s="27">
        <v>2.59</v>
      </c>
      <c r="AV28" s="27">
        <v>7.4</v>
      </c>
      <c r="AX28" s="27">
        <f t="shared" si="18"/>
        <v>2.5000000000000009</v>
      </c>
      <c r="AY28" s="27">
        <f t="shared" si="8"/>
        <v>57.365853658536587</v>
      </c>
      <c r="AZ28" s="27">
        <v>58.8</v>
      </c>
      <c r="BA28" s="27">
        <v>37.799999999999997</v>
      </c>
      <c r="BB28" s="27">
        <v>2.5499999999999998</v>
      </c>
      <c r="BC28" s="27">
        <v>5</v>
      </c>
      <c r="BE28" s="27">
        <f t="shared" si="19"/>
        <v>2.5000000000000009</v>
      </c>
      <c r="BF28" s="27">
        <f t="shared" si="9"/>
        <v>76.487804878048792</v>
      </c>
      <c r="BG28" s="27">
        <v>78.400000000000006</v>
      </c>
      <c r="BH28" s="27">
        <v>40.200000000000003</v>
      </c>
      <c r="BI28" s="27">
        <v>2.5499999999999998</v>
      </c>
      <c r="BJ28" s="27">
        <v>6.7</v>
      </c>
      <c r="BL28" s="27">
        <f t="shared" si="20"/>
        <v>2.5000000000000009</v>
      </c>
      <c r="BM28" s="27">
        <f t="shared" si="10"/>
        <v>40.195121951219519</v>
      </c>
      <c r="BN28" s="29">
        <v>41.2</v>
      </c>
      <c r="BO28" s="27">
        <v>25.55</v>
      </c>
      <c r="BP28" s="27">
        <f t="shared" si="22"/>
        <v>2.5599999999999983</v>
      </c>
      <c r="BQ28" s="27">
        <v>3.6</v>
      </c>
      <c r="BS28" s="27">
        <v>50</v>
      </c>
      <c r="BT28" s="27">
        <f t="shared" si="1"/>
        <v>50</v>
      </c>
      <c r="BU28" s="27">
        <f t="shared" si="21"/>
        <v>2.5000000000000009</v>
      </c>
      <c r="BV28" s="27">
        <v>4.1900000000000004</v>
      </c>
      <c r="BW28" s="27">
        <v>3.66</v>
      </c>
      <c r="BX28" s="27">
        <v>20.9</v>
      </c>
    </row>
    <row r="29" spans="1:76" ht="12.75" customHeight="1" x14ac:dyDescent="0.2">
      <c r="A29" s="29">
        <v>38.299999999999997</v>
      </c>
      <c r="B29" s="27">
        <f t="shared" si="0"/>
        <v>44.953051643192488</v>
      </c>
      <c r="C29" s="29">
        <f t="shared" si="11"/>
        <v>2.600000000000001</v>
      </c>
      <c r="D29" s="29">
        <v>47.4</v>
      </c>
      <c r="E29" s="27">
        <v>0.94</v>
      </c>
      <c r="F29" s="29">
        <v>0.2</v>
      </c>
      <c r="H29" s="27">
        <f t="shared" si="12"/>
        <v>2.600000000000001</v>
      </c>
      <c r="I29" s="27">
        <f t="shared" si="2"/>
        <v>33.951219512195124</v>
      </c>
      <c r="J29" s="27">
        <v>34.799999999999997</v>
      </c>
      <c r="K29" s="27">
        <v>81.2</v>
      </c>
      <c r="L29" s="27">
        <v>1.52</v>
      </c>
      <c r="M29" s="27">
        <v>9.6999999999999993</v>
      </c>
      <c r="O29" s="27">
        <f t="shared" si="13"/>
        <v>2.600000000000001</v>
      </c>
      <c r="P29" s="27">
        <f t="shared" si="3"/>
        <v>94.341463414634163</v>
      </c>
      <c r="Q29" s="27">
        <v>96.7</v>
      </c>
      <c r="R29" s="27">
        <v>74.8</v>
      </c>
      <c r="S29" s="27">
        <v>2.84</v>
      </c>
      <c r="T29" s="27">
        <v>68.099999999999994</v>
      </c>
      <c r="AQ29" s="27">
        <f t="shared" si="17"/>
        <v>2.600000000000001</v>
      </c>
      <c r="AR29" s="27">
        <f t="shared" si="7"/>
        <v>85.560975609756113</v>
      </c>
      <c r="AS29" s="27">
        <v>87.7</v>
      </c>
      <c r="AT29" s="27">
        <v>60.17</v>
      </c>
      <c r="AU29" s="27">
        <v>2.64</v>
      </c>
      <c r="AV29" s="27">
        <v>7.5</v>
      </c>
      <c r="AX29" s="27">
        <f t="shared" si="18"/>
        <v>2.600000000000001</v>
      </c>
      <c r="AY29" s="27">
        <f t="shared" si="8"/>
        <v>59.609756097560982</v>
      </c>
      <c r="AZ29" s="27">
        <v>61.1</v>
      </c>
      <c r="BA29" s="27">
        <v>37.799999999999997</v>
      </c>
      <c r="BB29" s="27">
        <v>2.6</v>
      </c>
      <c r="BC29" s="27">
        <v>5</v>
      </c>
      <c r="BE29" s="27">
        <f t="shared" si="19"/>
        <v>2.600000000000001</v>
      </c>
      <c r="BF29" s="27">
        <f t="shared" si="9"/>
        <v>79.512195121951223</v>
      </c>
      <c r="BG29" s="27">
        <v>81.5</v>
      </c>
      <c r="BH29" s="27">
        <v>40.200000000000003</v>
      </c>
      <c r="BI29" s="27">
        <v>2.6</v>
      </c>
      <c r="BJ29" s="27">
        <v>6.7</v>
      </c>
      <c r="BL29" s="27">
        <f t="shared" si="20"/>
        <v>2.600000000000001</v>
      </c>
      <c r="BM29" s="27">
        <f t="shared" si="10"/>
        <v>41.853658536585371</v>
      </c>
      <c r="BN29" s="29">
        <v>42.9</v>
      </c>
      <c r="BO29" s="27">
        <v>25.55</v>
      </c>
      <c r="BP29" s="27">
        <f t="shared" si="22"/>
        <v>2.6099999999999981</v>
      </c>
      <c r="BQ29" s="27">
        <v>3.6</v>
      </c>
    </row>
    <row r="30" spans="1:76" ht="12.75" customHeight="1" x14ac:dyDescent="0.2">
      <c r="A30" s="29">
        <v>39</v>
      </c>
      <c r="B30" s="27">
        <f t="shared" si="0"/>
        <v>45.774647887323944</v>
      </c>
      <c r="C30" s="29">
        <f t="shared" si="11"/>
        <v>2.7000000000000011</v>
      </c>
      <c r="D30" s="29">
        <v>47.4</v>
      </c>
      <c r="E30" s="27">
        <v>0.96</v>
      </c>
      <c r="F30" s="29">
        <v>0.2</v>
      </c>
      <c r="H30" s="27">
        <f t="shared" si="12"/>
        <v>2.7000000000000011</v>
      </c>
      <c r="I30" s="27">
        <f t="shared" si="2"/>
        <v>35.31707317073171</v>
      </c>
      <c r="J30" s="27">
        <v>36.200000000000003</v>
      </c>
      <c r="K30" s="27">
        <v>81.209999999999994</v>
      </c>
      <c r="L30" s="27">
        <v>1.58</v>
      </c>
      <c r="M30" s="27">
        <v>10.199999999999999</v>
      </c>
      <c r="O30" s="27">
        <f t="shared" si="13"/>
        <v>2.7000000000000011</v>
      </c>
      <c r="P30" s="27">
        <f t="shared" si="3"/>
        <v>99.804878048780495</v>
      </c>
      <c r="Q30" s="27">
        <v>102.3</v>
      </c>
      <c r="R30" s="27">
        <v>74.81</v>
      </c>
      <c r="S30" s="27">
        <v>2.89</v>
      </c>
      <c r="T30" s="27">
        <v>69.8</v>
      </c>
      <c r="AQ30" s="27">
        <f t="shared" si="17"/>
        <v>2.7000000000000011</v>
      </c>
      <c r="AR30" s="27">
        <f t="shared" si="7"/>
        <v>89.073170731707322</v>
      </c>
      <c r="AS30" s="27">
        <v>91.3</v>
      </c>
      <c r="AT30" s="27">
        <v>60.2</v>
      </c>
      <c r="AU30" s="27">
        <v>2.69</v>
      </c>
      <c r="AV30" s="27">
        <v>7.5</v>
      </c>
      <c r="AX30" s="27">
        <f t="shared" si="18"/>
        <v>2.7000000000000011</v>
      </c>
      <c r="AY30" s="27">
        <f t="shared" si="8"/>
        <v>61.853658536585371</v>
      </c>
      <c r="AZ30" s="27">
        <v>63.4</v>
      </c>
      <c r="BA30" s="27">
        <v>37.799999999999997</v>
      </c>
      <c r="BB30" s="27">
        <v>2.65</v>
      </c>
      <c r="BC30" s="27">
        <v>5</v>
      </c>
      <c r="BE30" s="27">
        <f t="shared" si="19"/>
        <v>2.7000000000000011</v>
      </c>
      <c r="BF30" s="27">
        <f t="shared" si="9"/>
        <v>82.536585365853654</v>
      </c>
      <c r="BG30" s="27">
        <v>84.6</v>
      </c>
      <c r="BH30" s="27">
        <v>40.200000000000003</v>
      </c>
      <c r="BI30" s="27">
        <v>2.65</v>
      </c>
      <c r="BJ30" s="27">
        <v>6.7</v>
      </c>
      <c r="BL30" s="27">
        <f t="shared" si="20"/>
        <v>2.7000000000000011</v>
      </c>
      <c r="BM30" s="27">
        <f t="shared" si="10"/>
        <v>43.41463414634147</v>
      </c>
      <c r="BN30" s="29">
        <v>44.5</v>
      </c>
      <c r="BO30" s="27">
        <v>25.54</v>
      </c>
      <c r="BP30" s="27">
        <f t="shared" si="22"/>
        <v>2.6599999999999979</v>
      </c>
      <c r="BQ30" s="27">
        <v>3.6</v>
      </c>
    </row>
    <row r="31" spans="1:76" ht="12.75" customHeight="1" x14ac:dyDescent="0.2">
      <c r="A31" s="29">
        <v>39.6</v>
      </c>
      <c r="B31" s="27">
        <f t="shared" si="0"/>
        <v>46.478873239436624</v>
      </c>
      <c r="C31" s="29">
        <f t="shared" si="11"/>
        <v>2.8000000000000012</v>
      </c>
      <c r="D31" s="29">
        <v>47.4</v>
      </c>
      <c r="E31" s="27">
        <v>0.99</v>
      </c>
      <c r="F31" s="29">
        <v>0.2</v>
      </c>
      <c r="H31" s="27">
        <f t="shared" si="12"/>
        <v>2.8000000000000012</v>
      </c>
      <c r="I31" s="27">
        <f t="shared" si="2"/>
        <v>37.560975609756099</v>
      </c>
      <c r="J31" s="27">
        <v>38.5</v>
      </c>
      <c r="K31" s="27">
        <v>81.22</v>
      </c>
      <c r="L31" s="27">
        <v>1.63</v>
      </c>
      <c r="M31" s="27">
        <v>10.8</v>
      </c>
      <c r="O31" s="27">
        <f t="shared" si="13"/>
        <v>2.8000000000000012</v>
      </c>
      <c r="P31" s="27">
        <f t="shared" si="3"/>
        <v>105.36585365853659</v>
      </c>
      <c r="Q31" s="27">
        <v>108</v>
      </c>
      <c r="R31" s="27">
        <v>74.81</v>
      </c>
      <c r="S31" s="27">
        <v>2.95</v>
      </c>
      <c r="T31" s="27">
        <v>71.599999999999994</v>
      </c>
      <c r="AQ31" s="27">
        <f t="shared" si="17"/>
        <v>2.8000000000000012</v>
      </c>
      <c r="AR31" s="27">
        <f t="shared" si="7"/>
        <v>92.585365853658544</v>
      </c>
      <c r="AS31" s="27">
        <v>94.9</v>
      </c>
      <c r="AT31" s="27">
        <v>60.22</v>
      </c>
      <c r="AU31" s="27">
        <v>2.74</v>
      </c>
      <c r="AV31" s="27">
        <v>7.6</v>
      </c>
      <c r="AX31" s="27">
        <f t="shared" si="18"/>
        <v>2.8000000000000012</v>
      </c>
      <c r="AY31" s="27">
        <f t="shared" si="8"/>
        <v>64.195121951219519</v>
      </c>
      <c r="AZ31" s="27">
        <v>65.8</v>
      </c>
      <c r="BA31" s="27">
        <v>37.799999999999997</v>
      </c>
      <c r="BB31" s="27">
        <v>2.7</v>
      </c>
      <c r="BC31" s="27">
        <v>5</v>
      </c>
      <c r="BE31" s="27">
        <f t="shared" si="19"/>
        <v>2.8000000000000012</v>
      </c>
      <c r="BF31" s="27">
        <f t="shared" si="9"/>
        <v>85.560975609756113</v>
      </c>
      <c r="BG31" s="27">
        <v>87.7</v>
      </c>
      <c r="BH31" s="27">
        <v>40.200000000000003</v>
      </c>
      <c r="BI31" s="27">
        <v>2.7</v>
      </c>
      <c r="BJ31" s="27">
        <v>6.7</v>
      </c>
      <c r="BL31" s="27">
        <f t="shared" si="20"/>
        <v>2.8000000000000012</v>
      </c>
      <c r="BM31" s="27">
        <f t="shared" si="10"/>
        <v>45.073170731707322</v>
      </c>
      <c r="BN31" s="29">
        <v>46.2</v>
      </c>
      <c r="BO31" s="27">
        <v>25.54</v>
      </c>
      <c r="BP31" s="27">
        <f t="shared" si="22"/>
        <v>2.7099999999999977</v>
      </c>
      <c r="BQ31" s="27">
        <v>3.6</v>
      </c>
    </row>
    <row r="32" spans="1:76" ht="12.75" customHeight="1" x14ac:dyDescent="0.2">
      <c r="A32" s="29">
        <v>40.299999999999997</v>
      </c>
      <c r="B32" s="27">
        <f t="shared" si="0"/>
        <v>47.300469483568072</v>
      </c>
      <c r="C32" s="29">
        <f t="shared" si="11"/>
        <v>2.9000000000000012</v>
      </c>
      <c r="D32" s="29">
        <v>47.4</v>
      </c>
      <c r="E32" s="27">
        <v>1.02</v>
      </c>
      <c r="F32" s="29">
        <v>0.2</v>
      </c>
      <c r="H32" s="27">
        <f t="shared" si="12"/>
        <v>2.9000000000000012</v>
      </c>
      <c r="I32" s="27">
        <f t="shared" si="2"/>
        <v>39.414634146341463</v>
      </c>
      <c r="J32" s="27">
        <v>40.4</v>
      </c>
      <c r="K32" s="27">
        <v>81.23</v>
      </c>
      <c r="L32" s="27">
        <v>1.69</v>
      </c>
      <c r="M32" s="27">
        <v>11.5</v>
      </c>
      <c r="O32" s="27">
        <f t="shared" si="13"/>
        <v>2.9000000000000012</v>
      </c>
      <c r="P32" s="27">
        <f t="shared" si="3"/>
        <v>110.92682926829269</v>
      </c>
      <c r="Q32" s="27">
        <v>113.7</v>
      </c>
      <c r="R32" s="27">
        <v>74.819999999999993</v>
      </c>
      <c r="S32" s="27">
        <v>3</v>
      </c>
      <c r="T32" s="27">
        <v>73.3</v>
      </c>
      <c r="AQ32" s="27">
        <f t="shared" si="17"/>
        <v>2.9000000000000012</v>
      </c>
      <c r="AR32" s="27">
        <f t="shared" si="7"/>
        <v>96.097560975609767</v>
      </c>
      <c r="AS32" s="27">
        <v>98.5</v>
      </c>
      <c r="AT32" s="27">
        <v>60.25</v>
      </c>
      <c r="AU32" s="27">
        <v>2.8</v>
      </c>
      <c r="AV32" s="27">
        <v>7.7</v>
      </c>
      <c r="AX32" s="27">
        <f t="shared" si="18"/>
        <v>2.9000000000000012</v>
      </c>
      <c r="AY32" s="27">
        <f t="shared" si="8"/>
        <v>66.439024390243901</v>
      </c>
      <c r="AZ32" s="27">
        <v>68.099999999999994</v>
      </c>
      <c r="BA32" s="27">
        <v>37.799999999999997</v>
      </c>
      <c r="BB32" s="27">
        <v>2.754</v>
      </c>
      <c r="BC32" s="27">
        <v>5</v>
      </c>
      <c r="BE32" s="27">
        <f t="shared" si="19"/>
        <v>2.9000000000000012</v>
      </c>
      <c r="BF32" s="27">
        <f t="shared" si="9"/>
        <v>88.585365853658544</v>
      </c>
      <c r="BG32" s="27">
        <v>90.8</v>
      </c>
      <c r="BH32" s="27">
        <v>40.200000000000003</v>
      </c>
      <c r="BI32" s="27">
        <v>2.75</v>
      </c>
      <c r="BJ32" s="27">
        <v>6.7</v>
      </c>
      <c r="BL32" s="27">
        <f t="shared" si="20"/>
        <v>2.9000000000000012</v>
      </c>
      <c r="BM32" s="27">
        <f t="shared" si="10"/>
        <v>46.634146341463413</v>
      </c>
      <c r="BN32" s="29">
        <v>47.8</v>
      </c>
      <c r="BO32" s="27">
        <v>25.54</v>
      </c>
      <c r="BP32" s="27">
        <f t="shared" si="22"/>
        <v>2.7599999999999976</v>
      </c>
      <c r="BQ32" s="27">
        <v>3.6</v>
      </c>
    </row>
    <row r="33" spans="1:69" ht="12.75" customHeight="1" x14ac:dyDescent="0.2">
      <c r="A33" s="29">
        <v>40.9</v>
      </c>
      <c r="B33" s="27">
        <f t="shared" si="0"/>
        <v>48.004694835680752</v>
      </c>
      <c r="C33" s="29">
        <f t="shared" si="11"/>
        <v>3.0000000000000013</v>
      </c>
      <c r="D33" s="29">
        <v>47.4</v>
      </c>
      <c r="E33" s="27">
        <v>1.05</v>
      </c>
      <c r="F33" s="29">
        <v>0.2</v>
      </c>
      <c r="H33" s="27">
        <f t="shared" si="12"/>
        <v>3.0000000000000013</v>
      </c>
      <c r="I33" s="27">
        <f t="shared" si="2"/>
        <v>41.268292682926827</v>
      </c>
      <c r="J33" s="27">
        <v>42.3</v>
      </c>
      <c r="K33" s="27">
        <v>81.239999999999995</v>
      </c>
      <c r="L33" s="27">
        <v>1.75</v>
      </c>
      <c r="M33" s="27">
        <v>12.1</v>
      </c>
      <c r="O33" s="27">
        <f t="shared" si="13"/>
        <v>3.0000000000000013</v>
      </c>
      <c r="P33" s="27">
        <f t="shared" si="3"/>
        <v>116.58536585365854</v>
      </c>
      <c r="Q33" s="27">
        <v>119.5</v>
      </c>
      <c r="R33" s="27">
        <v>74.819999999999993</v>
      </c>
      <c r="S33" s="27">
        <v>3.05</v>
      </c>
      <c r="T33" s="27">
        <v>75</v>
      </c>
      <c r="AQ33" s="27">
        <f t="shared" si="17"/>
        <v>3.0000000000000013</v>
      </c>
      <c r="AR33" s="27">
        <f t="shared" si="7"/>
        <v>99.707317073170742</v>
      </c>
      <c r="AS33" s="27">
        <v>102.2</v>
      </c>
      <c r="AT33" s="27">
        <v>60.28</v>
      </c>
      <c r="AU33" s="27">
        <v>2.85</v>
      </c>
      <c r="AV33" s="27">
        <v>7.7</v>
      </c>
      <c r="AX33" s="27">
        <f t="shared" si="18"/>
        <v>3.0000000000000013</v>
      </c>
      <c r="AY33" s="27">
        <f t="shared" si="8"/>
        <v>68.682926829268311</v>
      </c>
      <c r="AZ33" s="27">
        <v>70.400000000000006</v>
      </c>
      <c r="BA33" s="27">
        <v>37.799999999999997</v>
      </c>
      <c r="BB33" s="27">
        <v>2.8</v>
      </c>
      <c r="BC33" s="27">
        <v>5</v>
      </c>
      <c r="BE33" s="27">
        <f t="shared" si="19"/>
        <v>3.0000000000000013</v>
      </c>
      <c r="BF33" s="27">
        <f t="shared" si="9"/>
        <v>91.609756097560989</v>
      </c>
      <c r="BG33" s="27">
        <v>93.9</v>
      </c>
      <c r="BH33" s="27">
        <v>40.200000000000003</v>
      </c>
      <c r="BI33" s="27">
        <v>2.8</v>
      </c>
      <c r="BJ33" s="27">
        <v>6.7</v>
      </c>
      <c r="BL33" s="27">
        <f t="shared" si="20"/>
        <v>3.0000000000000013</v>
      </c>
      <c r="BM33" s="27">
        <f t="shared" si="10"/>
        <v>48.292682926829272</v>
      </c>
      <c r="BN33" s="29">
        <v>49.5</v>
      </c>
      <c r="BO33" s="27">
        <v>25.54</v>
      </c>
      <c r="BP33" s="27">
        <f t="shared" si="22"/>
        <v>2.8099999999999974</v>
      </c>
      <c r="BQ33" s="27">
        <v>3.6</v>
      </c>
    </row>
    <row r="34" spans="1:69" ht="12.75" customHeight="1" x14ac:dyDescent="0.2">
      <c r="A34" s="29">
        <v>41.6</v>
      </c>
      <c r="B34" s="27">
        <f t="shared" si="0"/>
        <v>48.826291079812208</v>
      </c>
      <c r="C34" s="29">
        <f t="shared" si="11"/>
        <v>3.1000000000000014</v>
      </c>
      <c r="D34" s="29">
        <v>47.4</v>
      </c>
      <c r="E34" s="27">
        <v>1.08</v>
      </c>
      <c r="F34" s="29">
        <v>0.2</v>
      </c>
      <c r="H34" s="27">
        <f t="shared" si="12"/>
        <v>3.1000000000000014</v>
      </c>
      <c r="I34" s="27">
        <f t="shared" si="2"/>
        <v>43.219512195121951</v>
      </c>
      <c r="J34" s="27">
        <v>44.3</v>
      </c>
      <c r="K34" s="49">
        <v>81.25</v>
      </c>
      <c r="L34" s="27">
        <v>1.81</v>
      </c>
      <c r="M34" s="27">
        <v>12.8</v>
      </c>
      <c r="O34" s="27">
        <f t="shared" si="13"/>
        <v>3.1000000000000014</v>
      </c>
      <c r="P34" s="27">
        <f t="shared" si="3"/>
        <v>122.2439024390244</v>
      </c>
      <c r="Q34" s="27">
        <v>125.3</v>
      </c>
      <c r="R34" s="27">
        <v>74.819999999999993</v>
      </c>
      <c r="S34" s="27">
        <v>3.11</v>
      </c>
      <c r="T34" s="27">
        <v>76.599999999999994</v>
      </c>
      <c r="AQ34" s="27">
        <f t="shared" si="17"/>
        <v>3.1000000000000014</v>
      </c>
      <c r="AR34" s="27">
        <f t="shared" si="7"/>
        <v>103.21951219512195</v>
      </c>
      <c r="AS34" s="27">
        <v>105.8</v>
      </c>
      <c r="AT34" s="27">
        <v>60.3</v>
      </c>
      <c r="AU34" s="27">
        <v>2.9</v>
      </c>
      <c r="AV34" s="27">
        <v>7.7</v>
      </c>
      <c r="AX34" s="27">
        <f t="shared" si="18"/>
        <v>3.1000000000000014</v>
      </c>
      <c r="AY34" s="27">
        <f t="shared" si="8"/>
        <v>71.024390243902445</v>
      </c>
      <c r="AZ34" s="27">
        <v>72.8</v>
      </c>
      <c r="BA34" s="27">
        <v>37.799999999999997</v>
      </c>
      <c r="BB34" s="27">
        <v>2.85</v>
      </c>
      <c r="BC34" s="27">
        <v>5</v>
      </c>
      <c r="BE34" s="27">
        <f t="shared" si="19"/>
        <v>3.1000000000000014</v>
      </c>
      <c r="BF34" s="27">
        <f t="shared" si="9"/>
        <v>94.634146341463421</v>
      </c>
      <c r="BG34" s="27">
        <v>97</v>
      </c>
      <c r="BH34" s="27">
        <v>40.200000000000003</v>
      </c>
      <c r="BI34" s="27">
        <v>2.85</v>
      </c>
      <c r="BJ34" s="27">
        <v>6.7</v>
      </c>
      <c r="BL34" s="27">
        <f t="shared" si="20"/>
        <v>3.1000000000000014</v>
      </c>
      <c r="BM34" s="27">
        <f t="shared" si="10"/>
        <v>49.853658536585371</v>
      </c>
      <c r="BN34" s="29">
        <v>51.1</v>
      </c>
      <c r="BO34" s="27">
        <v>25.54</v>
      </c>
      <c r="BP34" s="27">
        <f t="shared" si="22"/>
        <v>2.8599999999999972</v>
      </c>
      <c r="BQ34" s="27">
        <v>3.6</v>
      </c>
    </row>
    <row r="35" spans="1:69" ht="12.75" customHeight="1" x14ac:dyDescent="0.2">
      <c r="A35" s="29">
        <v>42.2</v>
      </c>
      <c r="B35" s="27">
        <f t="shared" si="0"/>
        <v>49.530516431924887</v>
      </c>
      <c r="C35" s="29">
        <f t="shared" si="11"/>
        <v>3.2000000000000015</v>
      </c>
      <c r="D35" s="29">
        <v>47.4</v>
      </c>
      <c r="E35" s="27">
        <v>1.1000000000000001</v>
      </c>
      <c r="F35" s="29">
        <v>0.2</v>
      </c>
      <c r="H35" s="27">
        <f t="shared" si="12"/>
        <v>3.2000000000000015</v>
      </c>
      <c r="I35" s="27">
        <f t="shared" si="2"/>
        <v>45.268292682926834</v>
      </c>
      <c r="J35" s="27">
        <v>46.4</v>
      </c>
      <c r="K35" s="27">
        <v>81.260000000000005</v>
      </c>
      <c r="L35" s="27">
        <v>1.8779999999999999</v>
      </c>
      <c r="M35" s="27">
        <v>13.6</v>
      </c>
      <c r="O35" s="27">
        <f t="shared" si="13"/>
        <v>3.2000000000000015</v>
      </c>
      <c r="P35" s="27">
        <f t="shared" si="3"/>
        <v>127.90243902439025</v>
      </c>
      <c r="Q35" s="27">
        <v>131.1</v>
      </c>
      <c r="R35" s="27">
        <v>74.83</v>
      </c>
      <c r="S35" s="27">
        <v>3.16</v>
      </c>
      <c r="T35" s="27">
        <v>78.3</v>
      </c>
      <c r="AQ35" s="27">
        <f t="shared" si="17"/>
        <v>3.2000000000000015</v>
      </c>
      <c r="AR35" s="27">
        <f t="shared" si="7"/>
        <v>106.73170731707319</v>
      </c>
      <c r="AS35" s="27">
        <v>109.4</v>
      </c>
      <c r="AT35" s="27">
        <v>60.33</v>
      </c>
      <c r="AU35" s="27">
        <v>2.95</v>
      </c>
      <c r="AV35" s="27">
        <v>7.8</v>
      </c>
      <c r="AX35" s="27">
        <f t="shared" si="18"/>
        <v>3.2000000000000015</v>
      </c>
      <c r="AY35" s="27">
        <f t="shared" si="8"/>
        <v>73.560975609756113</v>
      </c>
      <c r="AZ35" s="27">
        <v>75.400000000000006</v>
      </c>
      <c r="BA35" s="27">
        <v>37.83</v>
      </c>
      <c r="BB35" s="27">
        <v>2.9</v>
      </c>
      <c r="BC35" s="27">
        <v>5.2</v>
      </c>
      <c r="BE35" s="27">
        <f t="shared" si="19"/>
        <v>3.2000000000000015</v>
      </c>
      <c r="BF35" s="27">
        <f t="shared" si="9"/>
        <v>97.658536585365852</v>
      </c>
      <c r="BG35" s="27">
        <v>100.1</v>
      </c>
      <c r="BH35" s="27">
        <v>40.200000000000003</v>
      </c>
      <c r="BI35" s="27">
        <v>2.9</v>
      </c>
      <c r="BJ35" s="27">
        <v>6.7</v>
      </c>
      <c r="BL35" s="27">
        <f t="shared" si="20"/>
        <v>3.2000000000000015</v>
      </c>
      <c r="BM35" s="27">
        <f t="shared" si="10"/>
        <v>51.512195121951223</v>
      </c>
      <c r="BN35" s="29">
        <v>52.8</v>
      </c>
      <c r="BO35" s="27">
        <v>25.54</v>
      </c>
      <c r="BP35" s="27">
        <f t="shared" si="22"/>
        <v>2.909999999999997</v>
      </c>
      <c r="BQ35" s="27">
        <v>3.6</v>
      </c>
    </row>
    <row r="36" spans="1:69" ht="12.75" customHeight="1" x14ac:dyDescent="0.2">
      <c r="A36" s="29">
        <v>42.9</v>
      </c>
      <c r="B36" s="27">
        <f t="shared" si="0"/>
        <v>50.352112676056336</v>
      </c>
      <c r="C36" s="29">
        <f t="shared" si="11"/>
        <v>3.3000000000000016</v>
      </c>
      <c r="D36" s="29">
        <v>47.4</v>
      </c>
      <c r="E36" s="27">
        <v>1.1399999999999999</v>
      </c>
      <c r="F36" s="29">
        <v>0.2</v>
      </c>
      <c r="H36" s="27">
        <f t="shared" si="12"/>
        <v>3.3000000000000016</v>
      </c>
      <c r="I36" s="27">
        <f t="shared" si="2"/>
        <v>47.31707317073171</v>
      </c>
      <c r="J36" s="27">
        <v>48.5</v>
      </c>
      <c r="K36" s="27">
        <v>81.260000000000005</v>
      </c>
      <c r="L36" s="27">
        <v>1.93</v>
      </c>
      <c r="M36" s="27">
        <v>14.3</v>
      </c>
      <c r="O36" s="27">
        <f t="shared" si="13"/>
        <v>3.3000000000000016</v>
      </c>
      <c r="P36" s="27">
        <f t="shared" si="3"/>
        <v>133.46341463414637</v>
      </c>
      <c r="Q36" s="27">
        <v>136.80000000000001</v>
      </c>
      <c r="R36" s="27">
        <v>74.83</v>
      </c>
      <c r="S36" s="27">
        <v>3.22</v>
      </c>
      <c r="T36" s="27">
        <v>79.900000000000006</v>
      </c>
      <c r="AQ36" s="27">
        <f t="shared" si="17"/>
        <v>3.3000000000000016</v>
      </c>
      <c r="AR36" s="27">
        <f t="shared" si="7"/>
        <v>110.34146341463415</v>
      </c>
      <c r="AS36" s="27">
        <v>113.1</v>
      </c>
      <c r="AT36" s="27">
        <v>60.35</v>
      </c>
      <c r="AU36" s="27">
        <v>3</v>
      </c>
      <c r="AV36" s="27">
        <v>7.8</v>
      </c>
      <c r="AX36" s="27">
        <f t="shared" si="18"/>
        <v>3.3000000000000016</v>
      </c>
      <c r="AY36" s="27">
        <f t="shared" si="8"/>
        <v>76.585365853658544</v>
      </c>
      <c r="AZ36" s="27">
        <v>78.5</v>
      </c>
      <c r="BA36" s="27">
        <v>37.92</v>
      </c>
      <c r="BB36" s="27">
        <v>2.97</v>
      </c>
      <c r="BC36" s="27">
        <v>5.7</v>
      </c>
      <c r="BE36" s="27">
        <f t="shared" si="19"/>
        <v>3.3000000000000016</v>
      </c>
      <c r="BF36" s="27">
        <f t="shared" si="9"/>
        <v>100.68292682926831</v>
      </c>
      <c r="BG36" s="27">
        <v>103.2</v>
      </c>
      <c r="BH36" s="27">
        <v>40.200000000000003</v>
      </c>
      <c r="BI36" s="27">
        <v>2.95</v>
      </c>
      <c r="BJ36" s="27">
        <v>6.7</v>
      </c>
      <c r="BL36" s="27">
        <f t="shared" si="20"/>
        <v>3.3000000000000016</v>
      </c>
      <c r="BM36" s="27">
        <f t="shared" si="10"/>
        <v>53.463414634146346</v>
      </c>
      <c r="BN36" s="29">
        <v>54.8</v>
      </c>
      <c r="BO36" s="27">
        <v>25.54</v>
      </c>
      <c r="BP36" s="27">
        <f t="shared" si="22"/>
        <v>2.9599999999999969</v>
      </c>
      <c r="BQ36" s="27">
        <v>3.6</v>
      </c>
    </row>
    <row r="37" spans="1:69" ht="12.75" customHeight="1" x14ac:dyDescent="0.2">
      <c r="A37" s="29">
        <v>43.5</v>
      </c>
      <c r="B37" s="27">
        <f t="shared" si="0"/>
        <v>51.056338028169016</v>
      </c>
      <c r="C37" s="29">
        <f t="shared" si="11"/>
        <v>3.4000000000000017</v>
      </c>
      <c r="D37" s="29">
        <v>47.4</v>
      </c>
      <c r="E37" s="27">
        <v>1.17</v>
      </c>
      <c r="F37" s="29">
        <v>0.2</v>
      </c>
      <c r="H37" s="27">
        <f t="shared" si="12"/>
        <v>3.4000000000000017</v>
      </c>
      <c r="I37" s="27">
        <f t="shared" si="2"/>
        <v>49.365853658536594</v>
      </c>
      <c r="J37" s="27">
        <v>50.6</v>
      </c>
      <c r="K37" s="27">
        <v>81.27</v>
      </c>
      <c r="L37" s="27">
        <v>1.99</v>
      </c>
      <c r="M37" s="27">
        <v>15.1</v>
      </c>
      <c r="AQ37" s="27">
        <f t="shared" si="17"/>
        <v>3.4000000000000017</v>
      </c>
      <c r="AR37" s="27">
        <f t="shared" si="7"/>
        <v>113.85365853658539</v>
      </c>
      <c r="AS37" s="27">
        <v>116.7</v>
      </c>
      <c r="AT37" s="27">
        <v>60.38</v>
      </c>
      <c r="AU37" s="27">
        <v>3.05</v>
      </c>
      <c r="AV37" s="27">
        <v>7.9</v>
      </c>
      <c r="AX37" s="27">
        <f t="shared" si="18"/>
        <v>3.4000000000000017</v>
      </c>
      <c r="AY37" s="27">
        <f t="shared" si="8"/>
        <v>79.609756097560975</v>
      </c>
      <c r="AZ37" s="27">
        <v>81.599999999999994</v>
      </c>
      <c r="BA37" s="27">
        <v>38.01</v>
      </c>
      <c r="BB37" s="27">
        <v>3.03</v>
      </c>
      <c r="BC37" s="27">
        <v>6.2</v>
      </c>
      <c r="BE37" s="27">
        <f t="shared" si="19"/>
        <v>3.4000000000000017</v>
      </c>
      <c r="BF37" s="27">
        <f t="shared" si="9"/>
        <v>103.80487804878051</v>
      </c>
      <c r="BG37" s="27">
        <v>106.4</v>
      </c>
      <c r="BH37" s="27">
        <v>40.200000000000003</v>
      </c>
      <c r="BI37" s="27">
        <v>3</v>
      </c>
      <c r="BJ37" s="27">
        <v>6.7</v>
      </c>
      <c r="BL37" s="27">
        <f t="shared" si="20"/>
        <v>3.4000000000000017</v>
      </c>
      <c r="BM37" s="27">
        <f t="shared" si="10"/>
        <v>54.73170731707318</v>
      </c>
      <c r="BN37" s="29">
        <v>56.1</v>
      </c>
      <c r="BO37" s="27">
        <v>25.53</v>
      </c>
      <c r="BP37" s="27">
        <f t="shared" si="22"/>
        <v>3.0099999999999967</v>
      </c>
      <c r="BQ37" s="27">
        <v>3.6</v>
      </c>
    </row>
    <row r="38" spans="1:69" ht="12.75" customHeight="1" x14ac:dyDescent="0.2">
      <c r="A38" s="29">
        <v>44.1</v>
      </c>
      <c r="B38" s="27">
        <f t="shared" si="0"/>
        <v>51.760563380281695</v>
      </c>
      <c r="C38" s="29">
        <f t="shared" si="11"/>
        <v>3.5000000000000018</v>
      </c>
      <c r="D38" s="29">
        <v>47.4</v>
      </c>
      <c r="E38" s="27">
        <v>1.2</v>
      </c>
      <c r="F38" s="29">
        <v>0.2</v>
      </c>
      <c r="H38" s="27">
        <f t="shared" si="12"/>
        <v>3.5000000000000018</v>
      </c>
      <c r="I38" s="27">
        <f t="shared" si="2"/>
        <v>51.512195121951223</v>
      </c>
      <c r="J38" s="27">
        <v>52.8</v>
      </c>
      <c r="K38" s="27">
        <v>81.28</v>
      </c>
      <c r="L38" s="27">
        <v>2.0499999999999998</v>
      </c>
      <c r="M38" s="27">
        <v>15.9</v>
      </c>
      <c r="AQ38" s="27">
        <f t="shared" si="17"/>
        <v>3.5000000000000018</v>
      </c>
      <c r="AR38" s="27">
        <f t="shared" si="7"/>
        <v>117.46341463414636</v>
      </c>
      <c r="AS38" s="27">
        <v>120.4</v>
      </c>
      <c r="AT38" s="27">
        <v>60.4</v>
      </c>
      <c r="AU38" s="27">
        <v>3.11</v>
      </c>
      <c r="AV38" s="27">
        <v>7.9</v>
      </c>
      <c r="AX38" s="27">
        <f t="shared" si="18"/>
        <v>3.5000000000000018</v>
      </c>
      <c r="AY38" s="27">
        <f t="shared" si="8"/>
        <v>82.634146341463421</v>
      </c>
      <c r="AZ38" s="27">
        <v>84.7</v>
      </c>
      <c r="BA38" s="27">
        <v>38.090000000000003</v>
      </c>
      <c r="BB38" s="27">
        <v>3.1</v>
      </c>
      <c r="BC38" s="27">
        <v>6.5</v>
      </c>
      <c r="BE38" s="27">
        <f t="shared" si="19"/>
        <v>3.5000000000000018</v>
      </c>
      <c r="BF38" s="27">
        <f t="shared" si="9"/>
        <v>106.82926829268294</v>
      </c>
      <c r="BG38" s="27">
        <v>109.5</v>
      </c>
      <c r="BH38" s="27">
        <v>40.200000000000003</v>
      </c>
      <c r="BI38" s="27">
        <v>3.05</v>
      </c>
      <c r="BJ38" s="27">
        <v>6.7</v>
      </c>
      <c r="BL38" s="27">
        <f t="shared" si="20"/>
        <v>3.5000000000000018</v>
      </c>
      <c r="BM38" s="27">
        <f t="shared" si="10"/>
        <v>56.292682926829279</v>
      </c>
      <c r="BN38" s="29">
        <v>57.7</v>
      </c>
      <c r="BO38" s="27">
        <v>25.53</v>
      </c>
      <c r="BP38" s="27">
        <f t="shared" si="22"/>
        <v>3.0599999999999965</v>
      </c>
      <c r="BQ38" s="27">
        <v>3.6</v>
      </c>
    </row>
    <row r="39" spans="1:69" ht="12.75" customHeight="1" x14ac:dyDescent="0.2">
      <c r="A39" s="29">
        <v>44.8</v>
      </c>
      <c r="B39" s="27">
        <f t="shared" si="0"/>
        <v>52.582159624413144</v>
      </c>
      <c r="C39" s="29">
        <f t="shared" si="11"/>
        <v>3.6000000000000019</v>
      </c>
      <c r="D39" s="29">
        <v>47.4</v>
      </c>
      <c r="E39" s="27">
        <v>1.23</v>
      </c>
      <c r="F39" s="29">
        <v>0.2</v>
      </c>
      <c r="H39" s="27">
        <f t="shared" si="12"/>
        <v>3.6000000000000019</v>
      </c>
      <c r="I39" s="27">
        <f t="shared" si="2"/>
        <v>53.658536585365859</v>
      </c>
      <c r="J39" s="27">
        <v>55</v>
      </c>
      <c r="K39" s="27">
        <v>81.28</v>
      </c>
      <c r="L39" s="27">
        <v>2.11</v>
      </c>
      <c r="M39" s="27">
        <v>16.8</v>
      </c>
      <c r="AQ39" s="27">
        <f t="shared" si="17"/>
        <v>3.6000000000000019</v>
      </c>
      <c r="AR39" s="27">
        <f t="shared" si="7"/>
        <v>121.07317073170732</v>
      </c>
      <c r="AS39" s="27">
        <v>124.1</v>
      </c>
      <c r="AT39" s="27">
        <v>60.42</v>
      </c>
      <c r="AU39" s="27">
        <v>3.16</v>
      </c>
      <c r="AV39" s="27">
        <v>7.9</v>
      </c>
      <c r="AX39" s="27">
        <f t="shared" si="18"/>
        <v>3.6000000000000019</v>
      </c>
      <c r="AY39" s="27">
        <f t="shared" si="8"/>
        <v>85.658536585365852</v>
      </c>
      <c r="AZ39" s="27">
        <v>87.8</v>
      </c>
      <c r="BA39" s="27">
        <v>38.17</v>
      </c>
      <c r="BB39" s="27">
        <v>3.16</v>
      </c>
      <c r="BC39" s="27">
        <v>6.7</v>
      </c>
      <c r="BE39" s="27">
        <f t="shared" si="19"/>
        <v>3.6000000000000019</v>
      </c>
      <c r="BF39" s="27">
        <f t="shared" si="9"/>
        <v>109.85365853658537</v>
      </c>
      <c r="BG39" s="27">
        <v>112.6</v>
      </c>
      <c r="BH39" s="27">
        <v>40.200000000000003</v>
      </c>
      <c r="BI39" s="27">
        <v>3.1</v>
      </c>
      <c r="BJ39" s="27">
        <v>6.7</v>
      </c>
      <c r="BL39" s="27">
        <f t="shared" si="20"/>
        <v>3.6000000000000019</v>
      </c>
      <c r="BM39" s="27">
        <f t="shared" si="10"/>
        <v>57.951219512195124</v>
      </c>
      <c r="BN39" s="29">
        <v>59.4</v>
      </c>
      <c r="BO39" s="27">
        <v>25.53</v>
      </c>
      <c r="BP39" s="27">
        <f t="shared" si="22"/>
        <v>3.1099999999999963</v>
      </c>
      <c r="BQ39" s="27">
        <v>3.6</v>
      </c>
    </row>
    <row r="40" spans="1:69" ht="12.75" customHeight="1" x14ac:dyDescent="0.2">
      <c r="A40" s="29">
        <v>45.4</v>
      </c>
      <c r="B40" s="27">
        <f t="shared" si="0"/>
        <v>53.286384976525824</v>
      </c>
      <c r="C40" s="29">
        <f t="shared" si="11"/>
        <v>3.700000000000002</v>
      </c>
      <c r="D40" s="29">
        <v>47.4</v>
      </c>
      <c r="E40" s="27">
        <v>1.26</v>
      </c>
      <c r="F40" s="29">
        <v>0.2</v>
      </c>
      <c r="H40" s="27">
        <f t="shared" si="12"/>
        <v>3.700000000000002</v>
      </c>
      <c r="I40" s="27">
        <f t="shared" si="2"/>
        <v>55.804878048780495</v>
      </c>
      <c r="J40" s="27">
        <v>57.2</v>
      </c>
      <c r="K40" s="27">
        <v>81.290000000000006</v>
      </c>
      <c r="L40" s="27">
        <v>2.17</v>
      </c>
      <c r="M40" s="27">
        <v>17.7</v>
      </c>
      <c r="AQ40" s="27">
        <f t="shared" si="17"/>
        <v>3.700000000000002</v>
      </c>
      <c r="AR40" s="27">
        <f t="shared" si="7"/>
        <v>124.58536585365854</v>
      </c>
      <c r="AS40" s="27">
        <v>127.7</v>
      </c>
      <c r="AT40" s="27">
        <v>60.44</v>
      </c>
      <c r="AU40" s="27">
        <v>3.21</v>
      </c>
      <c r="AV40" s="27">
        <v>7.9</v>
      </c>
      <c r="AX40" s="27">
        <f t="shared" si="18"/>
        <v>3.700000000000002</v>
      </c>
      <c r="AY40" s="27">
        <f t="shared" si="8"/>
        <v>88.682926829268311</v>
      </c>
      <c r="AZ40" s="27">
        <v>90.9</v>
      </c>
      <c r="BA40" s="27">
        <v>38.24</v>
      </c>
      <c r="BB40" s="27">
        <v>3.22</v>
      </c>
      <c r="BC40" s="27">
        <v>6.9</v>
      </c>
      <c r="BE40" s="27">
        <f t="shared" si="19"/>
        <v>3.700000000000002</v>
      </c>
      <c r="BF40" s="27">
        <f t="shared" si="9"/>
        <v>112.87804878048782</v>
      </c>
      <c r="BG40" s="27">
        <v>115.7</v>
      </c>
      <c r="BH40" s="27">
        <v>40.200000000000003</v>
      </c>
      <c r="BI40" s="27">
        <v>3.15</v>
      </c>
      <c r="BJ40" s="27">
        <v>6.7</v>
      </c>
      <c r="BL40" s="27">
        <f t="shared" si="20"/>
        <v>3.700000000000002</v>
      </c>
      <c r="BM40" s="27">
        <f t="shared" si="10"/>
        <v>59.512195121951223</v>
      </c>
      <c r="BN40" s="29">
        <v>61</v>
      </c>
      <c r="BO40" s="27">
        <v>25.53</v>
      </c>
      <c r="BP40" s="27">
        <f t="shared" si="22"/>
        <v>3.1599999999999961</v>
      </c>
      <c r="BQ40" s="27">
        <v>3.6</v>
      </c>
    </row>
    <row r="41" spans="1:69" ht="12.75" customHeight="1" x14ac:dyDescent="0.2">
      <c r="A41" s="29">
        <v>46</v>
      </c>
      <c r="B41" s="27">
        <f t="shared" si="0"/>
        <v>53.990610328638496</v>
      </c>
      <c r="C41" s="29">
        <f t="shared" si="11"/>
        <v>3.800000000000002</v>
      </c>
      <c r="D41" s="29">
        <v>47.4</v>
      </c>
      <c r="E41" s="27">
        <v>1.3</v>
      </c>
      <c r="F41" s="29">
        <v>0.2</v>
      </c>
      <c r="H41" s="27">
        <f t="shared" si="12"/>
        <v>3.800000000000002</v>
      </c>
      <c r="I41" s="27">
        <f t="shared" si="2"/>
        <v>58.048780487804883</v>
      </c>
      <c r="J41" s="27">
        <v>59.5</v>
      </c>
      <c r="K41" s="27">
        <v>81.290000000000006</v>
      </c>
      <c r="L41" s="27">
        <v>2.2400000000000002</v>
      </c>
      <c r="M41" s="27">
        <v>18.600000000000001</v>
      </c>
      <c r="AQ41" s="27">
        <f t="shared" si="17"/>
        <v>3.800000000000002</v>
      </c>
      <c r="AR41" s="27">
        <f t="shared" si="7"/>
        <v>128.19512195121953</v>
      </c>
      <c r="AS41" s="27">
        <v>131.4</v>
      </c>
      <c r="AT41" s="27">
        <v>60.47</v>
      </c>
      <c r="AU41" s="27">
        <v>3.26</v>
      </c>
      <c r="AV41" s="27">
        <v>7.9</v>
      </c>
      <c r="AX41" s="27">
        <f t="shared" si="18"/>
        <v>3.800000000000002</v>
      </c>
      <c r="AY41" s="27">
        <f t="shared" si="8"/>
        <v>91.707317073170742</v>
      </c>
      <c r="AZ41" s="27">
        <v>94</v>
      </c>
      <c r="BA41" s="27">
        <v>38.299999999999997</v>
      </c>
      <c r="BB41" s="27">
        <v>3.28</v>
      </c>
      <c r="BC41" s="27">
        <v>6.9</v>
      </c>
      <c r="BE41" s="27">
        <f t="shared" si="19"/>
        <v>3.800000000000002</v>
      </c>
      <c r="BF41" s="27">
        <f t="shared" si="9"/>
        <v>115.90243902439025</v>
      </c>
      <c r="BG41" s="27">
        <v>118.8</v>
      </c>
      <c r="BH41" s="27">
        <v>40.200000000000003</v>
      </c>
      <c r="BI41" s="27">
        <v>3.2</v>
      </c>
      <c r="BJ41" s="27">
        <v>6.7</v>
      </c>
      <c r="BL41" s="27">
        <f t="shared" si="20"/>
        <v>3.800000000000002</v>
      </c>
      <c r="BM41" s="27">
        <f t="shared" si="10"/>
        <v>61.170731707317081</v>
      </c>
      <c r="BN41" s="29">
        <v>62.7</v>
      </c>
      <c r="BO41" s="27">
        <v>25.53</v>
      </c>
      <c r="BP41" s="27">
        <f t="shared" si="22"/>
        <v>3.209999999999996</v>
      </c>
      <c r="BQ41" s="27">
        <v>3.6</v>
      </c>
    </row>
    <row r="42" spans="1:69" ht="12.75" customHeight="1" x14ac:dyDescent="0.2">
      <c r="A42" s="29">
        <v>46.7</v>
      </c>
      <c r="B42" s="27">
        <f t="shared" si="0"/>
        <v>54.812206572769959</v>
      </c>
      <c r="C42" s="29">
        <f t="shared" si="11"/>
        <v>3.9000000000000021</v>
      </c>
      <c r="D42" s="29">
        <v>47.4</v>
      </c>
      <c r="E42" s="27">
        <v>1.33</v>
      </c>
      <c r="F42" s="29">
        <v>0.2</v>
      </c>
      <c r="H42" s="27">
        <f t="shared" si="12"/>
        <v>3.9000000000000021</v>
      </c>
      <c r="I42" s="27">
        <f t="shared" si="2"/>
        <v>60.292682926829272</v>
      </c>
      <c r="J42" s="27">
        <v>61.8</v>
      </c>
      <c r="K42" s="27">
        <v>81.290000000000006</v>
      </c>
      <c r="L42" s="27">
        <v>2.2999999999999998</v>
      </c>
      <c r="M42" s="27">
        <v>19.5</v>
      </c>
      <c r="AQ42" s="27">
        <f t="shared" si="17"/>
        <v>3.9000000000000021</v>
      </c>
      <c r="AR42" s="27">
        <f t="shared" si="7"/>
        <v>131.80487804878049</v>
      </c>
      <c r="AS42" s="27">
        <v>135.1</v>
      </c>
      <c r="AT42" s="27">
        <v>60.49</v>
      </c>
      <c r="AU42" s="27">
        <v>3.31</v>
      </c>
      <c r="AV42" s="27">
        <v>8</v>
      </c>
      <c r="AX42" s="27">
        <f t="shared" si="18"/>
        <v>3.9000000000000021</v>
      </c>
      <c r="AY42" s="27">
        <f t="shared" si="8"/>
        <v>94.731707317073173</v>
      </c>
      <c r="AZ42" s="27">
        <v>97.1</v>
      </c>
      <c r="BA42" s="27">
        <v>38.36</v>
      </c>
      <c r="BB42" s="27">
        <v>3.34</v>
      </c>
      <c r="BC42" s="27">
        <v>6.9</v>
      </c>
      <c r="BE42" s="27">
        <f t="shared" si="19"/>
        <v>3.9000000000000021</v>
      </c>
      <c r="BF42" s="27">
        <f t="shared" si="9"/>
        <v>118.92682926829269</v>
      </c>
      <c r="BG42" s="27">
        <v>121.9</v>
      </c>
      <c r="BH42" s="27">
        <v>40.200000000000003</v>
      </c>
      <c r="BI42" s="27">
        <v>3.25</v>
      </c>
      <c r="BJ42" s="27">
        <v>6.7</v>
      </c>
      <c r="BL42" s="27">
        <f t="shared" si="20"/>
        <v>3.9000000000000021</v>
      </c>
      <c r="BM42" s="27">
        <f t="shared" si="10"/>
        <v>62.731707317073173</v>
      </c>
      <c r="BN42" s="29">
        <v>64.3</v>
      </c>
      <c r="BO42" s="27">
        <v>25.53</v>
      </c>
      <c r="BP42" s="27">
        <f t="shared" si="22"/>
        <v>3.2599999999999958</v>
      </c>
      <c r="BQ42" s="27">
        <v>3.6</v>
      </c>
    </row>
    <row r="43" spans="1:69" ht="12.75" customHeight="1" x14ac:dyDescent="0.2">
      <c r="A43" s="29">
        <v>47.3</v>
      </c>
      <c r="B43" s="27">
        <f t="shared" si="0"/>
        <v>55.516431924882625</v>
      </c>
      <c r="C43" s="29">
        <f t="shared" si="11"/>
        <v>4.0000000000000018</v>
      </c>
      <c r="D43" s="29">
        <v>47.4</v>
      </c>
      <c r="E43" s="27">
        <v>1.37</v>
      </c>
      <c r="F43" s="29">
        <v>0.2</v>
      </c>
      <c r="H43" s="27">
        <f t="shared" si="12"/>
        <v>4.0000000000000018</v>
      </c>
      <c r="I43" s="27">
        <f t="shared" si="2"/>
        <v>62.634146341463421</v>
      </c>
      <c r="J43" s="27">
        <v>64.2</v>
      </c>
      <c r="K43" s="27">
        <v>81.3</v>
      </c>
      <c r="L43" s="27">
        <v>2.36</v>
      </c>
      <c r="M43" s="27">
        <v>20.5</v>
      </c>
      <c r="AQ43" s="27">
        <f t="shared" si="17"/>
        <v>4.0000000000000018</v>
      </c>
      <c r="AR43" s="27">
        <f t="shared" si="7"/>
        <v>135.41463414634148</v>
      </c>
      <c r="AS43" s="27">
        <v>138.80000000000001</v>
      </c>
      <c r="AT43" s="27">
        <v>60.5</v>
      </c>
      <c r="AU43" s="27">
        <v>3.36</v>
      </c>
      <c r="AV43" s="27">
        <v>8</v>
      </c>
      <c r="AX43" s="27">
        <f t="shared" si="18"/>
        <v>4.0000000000000018</v>
      </c>
      <c r="AY43" s="27">
        <f t="shared" si="8"/>
        <v>97.756097560975618</v>
      </c>
      <c r="AZ43" s="27">
        <v>100.2</v>
      </c>
      <c r="BA43" s="27">
        <v>38.42</v>
      </c>
      <c r="BB43" s="27">
        <v>3.4</v>
      </c>
      <c r="BC43" s="27">
        <v>6.8</v>
      </c>
      <c r="BE43" s="27">
        <f t="shared" si="19"/>
        <v>4.0000000000000018</v>
      </c>
      <c r="BF43" s="27">
        <f t="shared" si="9"/>
        <v>121.95121951219514</v>
      </c>
      <c r="BG43" s="27">
        <v>125</v>
      </c>
      <c r="BH43" s="27">
        <v>40.200000000000003</v>
      </c>
      <c r="BI43" s="27">
        <v>3.3</v>
      </c>
      <c r="BJ43" s="27">
        <v>6.7</v>
      </c>
      <c r="BL43" s="27">
        <f t="shared" si="20"/>
        <v>4.0000000000000018</v>
      </c>
      <c r="BM43" s="27">
        <f t="shared" si="10"/>
        <v>64.390243902439025</v>
      </c>
      <c r="BN43" s="29">
        <v>66</v>
      </c>
      <c r="BO43" s="27">
        <v>25.53</v>
      </c>
      <c r="BP43" s="27">
        <f t="shared" si="22"/>
        <v>3.3099999999999956</v>
      </c>
      <c r="BQ43" s="27">
        <v>3.6</v>
      </c>
    </row>
    <row r="44" spans="1:69" ht="12.75" customHeight="1" x14ac:dyDescent="0.2">
      <c r="A44" s="29">
        <v>48</v>
      </c>
      <c r="B44" s="27">
        <f t="shared" si="0"/>
        <v>56.338028169014088</v>
      </c>
      <c r="C44" s="29">
        <f t="shared" si="11"/>
        <v>4.1000000000000014</v>
      </c>
      <c r="D44" s="29">
        <v>47.4</v>
      </c>
      <c r="E44" s="27">
        <v>1.4</v>
      </c>
      <c r="F44" s="29">
        <v>0.2</v>
      </c>
      <c r="H44" s="27">
        <f t="shared" si="12"/>
        <v>4.1000000000000014</v>
      </c>
      <c r="I44" s="27">
        <f t="shared" si="2"/>
        <v>64.975609756097555</v>
      </c>
      <c r="J44" s="27">
        <v>66.599999999999994</v>
      </c>
      <c r="K44" s="27">
        <v>81.3</v>
      </c>
      <c r="L44" s="27">
        <v>2.4300000000000002</v>
      </c>
      <c r="M44" s="27">
        <v>21.7</v>
      </c>
      <c r="AQ44" s="27">
        <f t="shared" si="17"/>
        <v>4.1000000000000014</v>
      </c>
      <c r="AR44" s="27">
        <f t="shared" si="7"/>
        <v>139.02439024390245</v>
      </c>
      <c r="AS44" s="27">
        <v>142.5</v>
      </c>
      <c r="AT44" s="27">
        <v>60.52</v>
      </c>
      <c r="AU44" s="27">
        <v>3.42</v>
      </c>
      <c r="AV44" s="27">
        <v>8</v>
      </c>
      <c r="AX44" s="27">
        <f t="shared" si="18"/>
        <v>4.1000000000000014</v>
      </c>
      <c r="AY44" s="27">
        <f t="shared" si="8"/>
        <v>100.78048780487805</v>
      </c>
      <c r="AZ44" s="27">
        <v>103.3</v>
      </c>
      <c r="BA44" s="27">
        <v>38.47</v>
      </c>
      <c r="BB44" s="27">
        <v>3.46</v>
      </c>
      <c r="BC44" s="27">
        <v>6.7</v>
      </c>
      <c r="BE44" s="27">
        <f t="shared" si="19"/>
        <v>4.1000000000000014</v>
      </c>
      <c r="BF44" s="27">
        <f t="shared" si="9"/>
        <v>124.97560975609757</v>
      </c>
      <c r="BG44" s="27">
        <v>128.1</v>
      </c>
      <c r="BH44" s="27">
        <v>40.200000000000003</v>
      </c>
      <c r="BI44" s="27">
        <v>3.35</v>
      </c>
      <c r="BJ44" s="27">
        <v>6.7</v>
      </c>
      <c r="BL44" s="27">
        <f t="shared" si="20"/>
        <v>4.1000000000000014</v>
      </c>
      <c r="BM44" s="27">
        <f t="shared" si="10"/>
        <v>65.951219512195124</v>
      </c>
      <c r="BN44" s="29">
        <v>67.599999999999994</v>
      </c>
      <c r="BO44" s="27">
        <v>25.53</v>
      </c>
      <c r="BP44" s="27">
        <f t="shared" si="22"/>
        <v>3.3599999999999954</v>
      </c>
      <c r="BQ44" s="27">
        <v>3.6</v>
      </c>
    </row>
    <row r="45" spans="1:69" ht="12.75" customHeight="1" x14ac:dyDescent="0.2">
      <c r="A45" s="29">
        <v>48.7</v>
      </c>
      <c r="B45" s="27">
        <f t="shared" si="0"/>
        <v>57.159624413145544</v>
      </c>
      <c r="C45" s="29">
        <f t="shared" si="11"/>
        <v>4.2000000000000011</v>
      </c>
      <c r="D45" s="29">
        <v>47.4</v>
      </c>
      <c r="E45" s="27">
        <v>1.44</v>
      </c>
      <c r="F45" s="29">
        <v>0.2</v>
      </c>
      <c r="H45" s="27">
        <f t="shared" si="12"/>
        <v>4.2000000000000011</v>
      </c>
      <c r="I45" s="27">
        <f t="shared" si="2"/>
        <v>67.41463414634147</v>
      </c>
      <c r="J45" s="27">
        <v>69.099999999999994</v>
      </c>
      <c r="K45" s="27">
        <v>81.31</v>
      </c>
      <c r="L45" s="27">
        <v>2.4900000000000002</v>
      </c>
      <c r="M45" s="27">
        <v>22.8</v>
      </c>
      <c r="AQ45" s="27">
        <f t="shared" si="17"/>
        <v>4.2000000000000011</v>
      </c>
      <c r="AR45" s="27">
        <f t="shared" si="7"/>
        <v>142.63414634146341</v>
      </c>
      <c r="AS45" s="27">
        <v>146.19999999999999</v>
      </c>
      <c r="AT45" s="27">
        <v>60.54</v>
      </c>
      <c r="AU45" s="27">
        <v>3.47</v>
      </c>
      <c r="AV45" s="27">
        <v>8</v>
      </c>
      <c r="AX45" s="27">
        <f t="shared" si="18"/>
        <v>4.2000000000000011</v>
      </c>
      <c r="AY45" s="27">
        <f t="shared" si="8"/>
        <v>103.80487804878051</v>
      </c>
      <c r="AZ45" s="27">
        <v>106.4</v>
      </c>
      <c r="BA45" s="27">
        <v>38.520000000000003</v>
      </c>
      <c r="BB45" s="27">
        <v>3.52</v>
      </c>
      <c r="BC45" s="27">
        <v>6.7</v>
      </c>
      <c r="BE45" s="27">
        <f t="shared" si="19"/>
        <v>4.2000000000000011</v>
      </c>
      <c r="BF45" s="27">
        <f t="shared" si="9"/>
        <v>128</v>
      </c>
      <c r="BG45" s="27">
        <v>131.19999999999999</v>
      </c>
      <c r="BH45" s="27">
        <v>40.200000000000003</v>
      </c>
      <c r="BI45" s="27">
        <v>3.4</v>
      </c>
      <c r="BJ45" s="27">
        <v>6.7</v>
      </c>
      <c r="BL45" s="27">
        <f t="shared" si="20"/>
        <v>4.2000000000000011</v>
      </c>
      <c r="BM45" s="27">
        <f t="shared" si="10"/>
        <v>67.609756097560975</v>
      </c>
      <c r="BN45" s="29">
        <v>69.3</v>
      </c>
      <c r="BO45" s="27">
        <v>25.53</v>
      </c>
      <c r="BP45" s="27">
        <f t="shared" si="22"/>
        <v>3.4099999999999953</v>
      </c>
      <c r="BQ45" s="27">
        <v>3.6</v>
      </c>
    </row>
    <row r="46" spans="1:69" ht="12.75" customHeight="1" x14ac:dyDescent="0.2">
      <c r="A46" s="29">
        <v>49.3</v>
      </c>
      <c r="B46" s="27">
        <f t="shared" si="0"/>
        <v>57.863849765258216</v>
      </c>
      <c r="C46" s="29">
        <f t="shared" si="11"/>
        <v>4.3000000000000007</v>
      </c>
      <c r="D46" s="29">
        <v>47.4</v>
      </c>
      <c r="E46" s="27">
        <v>1.48</v>
      </c>
      <c r="F46" s="29">
        <v>0.2</v>
      </c>
      <c r="H46" s="27">
        <f t="shared" si="12"/>
        <v>4.3000000000000007</v>
      </c>
      <c r="I46" s="27">
        <f t="shared" si="2"/>
        <v>69.951219512195124</v>
      </c>
      <c r="J46" s="27">
        <v>71.7</v>
      </c>
      <c r="K46" s="27">
        <v>81.31</v>
      </c>
      <c r="L46" s="27">
        <v>2.5499999999999998</v>
      </c>
      <c r="M46" s="27">
        <v>24.1</v>
      </c>
      <c r="AQ46" s="27">
        <f t="shared" si="17"/>
        <v>4.3000000000000007</v>
      </c>
      <c r="AR46" s="27">
        <f t="shared" si="7"/>
        <v>146.2439024390244</v>
      </c>
      <c r="AS46" s="27">
        <v>149.9</v>
      </c>
      <c r="AT46" s="27">
        <v>60.56</v>
      </c>
      <c r="AU46" s="27">
        <v>3.52</v>
      </c>
      <c r="AV46" s="27">
        <v>8</v>
      </c>
      <c r="AX46" s="27">
        <f t="shared" si="18"/>
        <v>4.3000000000000007</v>
      </c>
      <c r="AY46" s="27">
        <f t="shared" si="8"/>
        <v>106.92682926829269</v>
      </c>
      <c r="AZ46" s="27">
        <v>109.6</v>
      </c>
      <c r="BA46" s="27">
        <v>38.57</v>
      </c>
      <c r="BB46" s="27">
        <v>3.58</v>
      </c>
      <c r="BC46" s="27">
        <v>6.7</v>
      </c>
      <c r="BE46" s="27">
        <f t="shared" si="19"/>
        <v>4.3000000000000007</v>
      </c>
      <c r="BF46" s="27">
        <f t="shared" si="9"/>
        <v>131.02439024390247</v>
      </c>
      <c r="BG46" s="27">
        <v>134.30000000000001</v>
      </c>
      <c r="BH46" s="27">
        <v>40.200000000000003</v>
      </c>
      <c r="BI46" s="27">
        <v>3.45</v>
      </c>
      <c r="BJ46" s="27">
        <v>6.7</v>
      </c>
      <c r="BL46" s="27">
        <f t="shared" si="20"/>
        <v>4.3000000000000007</v>
      </c>
      <c r="BM46" s="27">
        <f t="shared" si="10"/>
        <v>69.170731707317088</v>
      </c>
      <c r="BN46" s="29">
        <v>70.900000000000006</v>
      </c>
      <c r="BO46" s="27">
        <v>25.53</v>
      </c>
      <c r="BP46" s="27">
        <f t="shared" si="22"/>
        <v>3.4599999999999951</v>
      </c>
      <c r="BQ46" s="27">
        <v>3.6</v>
      </c>
    </row>
    <row r="47" spans="1:69" ht="12.75" customHeight="1" x14ac:dyDescent="0.2">
      <c r="A47" s="29">
        <v>50</v>
      </c>
      <c r="B47" s="27">
        <f t="shared" si="0"/>
        <v>58.685446009389672</v>
      </c>
      <c r="C47" s="29">
        <f t="shared" si="11"/>
        <v>4.4000000000000004</v>
      </c>
      <c r="D47" s="29">
        <v>47.4</v>
      </c>
      <c r="E47" s="27">
        <v>1.52</v>
      </c>
      <c r="F47" s="29">
        <v>0.2</v>
      </c>
      <c r="H47" s="27">
        <f t="shared" si="12"/>
        <v>4.4000000000000004</v>
      </c>
      <c r="I47" s="27">
        <f t="shared" si="2"/>
        <v>72.585365853658544</v>
      </c>
      <c r="J47" s="27">
        <v>74.400000000000006</v>
      </c>
      <c r="K47" s="27">
        <v>81.319999999999993</v>
      </c>
      <c r="L47" s="27">
        <v>2.62</v>
      </c>
      <c r="M47" s="27">
        <v>25.4</v>
      </c>
      <c r="AQ47" s="27">
        <f t="shared" si="17"/>
        <v>4.4000000000000004</v>
      </c>
      <c r="AR47" s="27">
        <f t="shared" si="7"/>
        <v>149.85365853658539</v>
      </c>
      <c r="AS47" s="27">
        <v>153.6</v>
      </c>
      <c r="AT47" s="27">
        <v>60.57</v>
      </c>
      <c r="AU47" s="27">
        <v>3.57</v>
      </c>
      <c r="AV47" s="27">
        <v>8</v>
      </c>
      <c r="AX47" s="27">
        <f t="shared" si="18"/>
        <v>4.4000000000000004</v>
      </c>
      <c r="AY47" s="27">
        <f t="shared" si="8"/>
        <v>109.95121951219514</v>
      </c>
      <c r="AZ47" s="27">
        <v>112.7</v>
      </c>
      <c r="BA47" s="27">
        <v>38.619999999999997</v>
      </c>
      <c r="BB47" s="27">
        <v>3.63</v>
      </c>
      <c r="BC47" s="27">
        <v>6.7</v>
      </c>
      <c r="BE47" s="27">
        <f t="shared" si="19"/>
        <v>4.4000000000000004</v>
      </c>
      <c r="BF47" s="27">
        <f t="shared" si="9"/>
        <v>134.14634146341464</v>
      </c>
      <c r="BG47" s="27">
        <v>137.5</v>
      </c>
      <c r="BH47" s="27">
        <v>40.200000000000003</v>
      </c>
      <c r="BI47" s="27">
        <v>3.5</v>
      </c>
      <c r="BJ47" s="27">
        <v>6.7</v>
      </c>
      <c r="BL47" s="27">
        <f t="shared" si="20"/>
        <v>4.4000000000000004</v>
      </c>
      <c r="BM47" s="27">
        <f t="shared" si="10"/>
        <v>70.829268292682926</v>
      </c>
      <c r="BN47" s="29">
        <v>72.599999999999994</v>
      </c>
      <c r="BO47" s="27">
        <v>25.53</v>
      </c>
      <c r="BP47" s="27">
        <f t="shared" si="22"/>
        <v>3.5099999999999949</v>
      </c>
      <c r="BQ47" s="27">
        <v>3.6</v>
      </c>
    </row>
    <row r="48" spans="1:69" ht="12.75" customHeight="1" x14ac:dyDescent="0.2">
      <c r="A48" s="29">
        <v>50.6</v>
      </c>
      <c r="B48" s="27">
        <f t="shared" si="0"/>
        <v>59.389671361502351</v>
      </c>
      <c r="C48" s="29">
        <f t="shared" si="11"/>
        <v>4.5</v>
      </c>
      <c r="D48" s="29">
        <v>47.4</v>
      </c>
      <c r="E48" s="27">
        <v>1.56</v>
      </c>
      <c r="F48" s="29">
        <v>0.2</v>
      </c>
      <c r="H48" s="27">
        <f t="shared" si="12"/>
        <v>4.5</v>
      </c>
      <c r="I48" s="27">
        <f t="shared" si="2"/>
        <v>75.219512195121951</v>
      </c>
      <c r="J48" s="27">
        <v>77.099999999999994</v>
      </c>
      <c r="K48" s="27">
        <v>81.319999999999993</v>
      </c>
      <c r="L48" s="27">
        <v>2.68</v>
      </c>
      <c r="M48" s="27">
        <v>26.9</v>
      </c>
      <c r="AQ48" s="27">
        <f t="shared" si="17"/>
        <v>4.5</v>
      </c>
      <c r="AR48" s="27">
        <f t="shared" si="7"/>
        <v>153.46341463414637</v>
      </c>
      <c r="AS48" s="27">
        <v>157.30000000000001</v>
      </c>
      <c r="AT48" s="27">
        <v>60.59</v>
      </c>
      <c r="AU48" s="27">
        <v>3.62</v>
      </c>
      <c r="AV48" s="27">
        <v>8</v>
      </c>
      <c r="AX48" s="27">
        <f t="shared" si="18"/>
        <v>4.5</v>
      </c>
      <c r="AY48" s="27">
        <f t="shared" si="8"/>
        <v>112.97560975609757</v>
      </c>
      <c r="AZ48" s="27">
        <v>115.8</v>
      </c>
      <c r="BA48" s="27">
        <v>38.659999999999997</v>
      </c>
      <c r="BB48" s="27">
        <v>3.69</v>
      </c>
      <c r="BC48" s="27">
        <v>6.7</v>
      </c>
      <c r="BE48" s="27">
        <f t="shared" si="19"/>
        <v>4.5</v>
      </c>
      <c r="BF48" s="27">
        <f t="shared" si="9"/>
        <v>137.17073170731709</v>
      </c>
      <c r="BG48" s="27">
        <v>140.6</v>
      </c>
      <c r="BH48" s="27">
        <v>40.200000000000003</v>
      </c>
      <c r="BI48" s="27">
        <v>3.55</v>
      </c>
      <c r="BJ48" s="27">
        <v>6.7</v>
      </c>
      <c r="BL48" s="27">
        <f t="shared" si="20"/>
        <v>4.5</v>
      </c>
      <c r="BM48" s="27">
        <f t="shared" si="10"/>
        <v>72.390243902439039</v>
      </c>
      <c r="BN48" s="29">
        <v>74.2</v>
      </c>
      <c r="BO48" s="27">
        <v>25.53</v>
      </c>
      <c r="BP48" s="27">
        <f t="shared" si="22"/>
        <v>3.5599999999999947</v>
      </c>
      <c r="BQ48" s="27">
        <v>3.6</v>
      </c>
    </row>
    <row r="49" spans="1:69" ht="12.75" customHeight="1" x14ac:dyDescent="0.2">
      <c r="H49" s="27">
        <f t="shared" si="12"/>
        <v>4.5999999999999996</v>
      </c>
      <c r="I49" s="27">
        <f t="shared" si="2"/>
        <v>78.048780487804891</v>
      </c>
      <c r="J49" s="27">
        <v>80</v>
      </c>
      <c r="K49" s="27">
        <v>81.33</v>
      </c>
      <c r="L49" s="27">
        <v>2.75</v>
      </c>
      <c r="M49" s="27">
        <v>28.4</v>
      </c>
      <c r="AQ49" s="27">
        <f t="shared" si="17"/>
        <v>4.5999999999999996</v>
      </c>
      <c r="AR49" s="27">
        <f t="shared" si="7"/>
        <v>157.07317073170734</v>
      </c>
      <c r="AS49" s="27">
        <v>161</v>
      </c>
      <c r="AT49" s="27">
        <v>60.6</v>
      </c>
      <c r="AU49" s="27">
        <v>3.67</v>
      </c>
      <c r="AV49" s="27">
        <v>8</v>
      </c>
      <c r="AX49" s="27">
        <f t="shared" si="18"/>
        <v>4.5999999999999996</v>
      </c>
      <c r="AY49" s="27">
        <f t="shared" si="8"/>
        <v>116.00000000000001</v>
      </c>
      <c r="AZ49" s="27">
        <v>118.9</v>
      </c>
      <c r="BA49" s="27">
        <v>38.700000000000003</v>
      </c>
      <c r="BB49" s="27">
        <v>3.75</v>
      </c>
      <c r="BC49" s="27">
        <v>6.7</v>
      </c>
      <c r="BE49" s="27">
        <f t="shared" si="19"/>
        <v>4.5999999999999996</v>
      </c>
      <c r="BF49" s="27">
        <f t="shared" si="9"/>
        <v>140.19512195121951</v>
      </c>
      <c r="BG49" s="27">
        <v>143.69999999999999</v>
      </c>
      <c r="BH49" s="27">
        <v>40.200000000000003</v>
      </c>
      <c r="BI49" s="27">
        <v>3.6</v>
      </c>
      <c r="BJ49" s="27">
        <v>6.7</v>
      </c>
      <c r="BL49" s="27">
        <f t="shared" si="20"/>
        <v>4.5999999999999996</v>
      </c>
      <c r="BM49" s="27">
        <f t="shared" si="10"/>
        <v>74.048780487804891</v>
      </c>
      <c r="BN49" s="29">
        <v>75.900000000000006</v>
      </c>
      <c r="BO49" s="27">
        <v>25.53</v>
      </c>
      <c r="BP49" s="27">
        <f t="shared" si="22"/>
        <v>3.6099999999999945</v>
      </c>
      <c r="BQ49" s="27">
        <v>3.6</v>
      </c>
    </row>
    <row r="50" spans="1:69" ht="12.75" customHeight="1" x14ac:dyDescent="0.2">
      <c r="H50" s="27">
        <f t="shared" si="12"/>
        <v>4.6999999999999993</v>
      </c>
      <c r="I50" s="27">
        <f t="shared" si="2"/>
        <v>80.780487804878049</v>
      </c>
      <c r="J50" s="27">
        <v>82.8</v>
      </c>
      <c r="K50" s="27">
        <v>81.34</v>
      </c>
      <c r="L50" s="27">
        <v>2.82</v>
      </c>
      <c r="M50" s="27">
        <v>29.9</v>
      </c>
      <c r="AQ50" s="27">
        <f t="shared" si="17"/>
        <v>4.6999999999999993</v>
      </c>
      <c r="AR50" s="27">
        <f t="shared" si="7"/>
        <v>160.6829268292683</v>
      </c>
      <c r="AS50" s="27">
        <v>164.7</v>
      </c>
      <c r="AT50" s="27">
        <v>60.62</v>
      </c>
      <c r="AU50" s="27">
        <v>3.72</v>
      </c>
      <c r="AV50" s="27">
        <v>8</v>
      </c>
      <c r="AX50" s="27">
        <f t="shared" si="18"/>
        <v>4.6999999999999993</v>
      </c>
      <c r="AY50" s="27">
        <f t="shared" si="8"/>
        <v>119.02439024390245</v>
      </c>
      <c r="AZ50" s="27">
        <v>122</v>
      </c>
      <c r="BA50" s="27">
        <v>38.74</v>
      </c>
      <c r="BB50" s="27">
        <v>3.8</v>
      </c>
      <c r="BC50" s="27">
        <v>6.7</v>
      </c>
      <c r="BE50" s="27">
        <f t="shared" si="19"/>
        <v>4.6999999999999993</v>
      </c>
      <c r="BF50" s="27">
        <f t="shared" si="9"/>
        <v>143.21951219512198</v>
      </c>
      <c r="BG50" s="27">
        <v>146.80000000000001</v>
      </c>
      <c r="BH50" s="27">
        <v>40.200000000000003</v>
      </c>
      <c r="BI50" s="27">
        <v>3.65</v>
      </c>
      <c r="BJ50" s="27">
        <v>6.7</v>
      </c>
      <c r="BL50" s="27">
        <f t="shared" si="20"/>
        <v>4.6999999999999993</v>
      </c>
      <c r="BM50" s="27">
        <f t="shared" si="10"/>
        <v>75.609756097560975</v>
      </c>
      <c r="BN50" s="29">
        <v>77.5</v>
      </c>
      <c r="BO50" s="27">
        <v>25.52</v>
      </c>
      <c r="BP50" s="27">
        <f t="shared" si="22"/>
        <v>3.6599999999999944</v>
      </c>
      <c r="BQ50" s="27">
        <v>3.6</v>
      </c>
    </row>
    <row r="51" spans="1:69" ht="12.75" customHeight="1" x14ac:dyDescent="0.2">
      <c r="H51" s="27">
        <f t="shared" si="12"/>
        <v>4.7999999999999989</v>
      </c>
      <c r="I51" s="27">
        <f t="shared" si="2"/>
        <v>83.707317073170742</v>
      </c>
      <c r="J51" s="27">
        <v>85.8</v>
      </c>
      <c r="K51" s="27">
        <v>81.34</v>
      </c>
      <c r="L51" s="27">
        <v>2.88</v>
      </c>
      <c r="M51" s="27">
        <v>31.6</v>
      </c>
      <c r="AQ51" s="27">
        <f t="shared" si="17"/>
        <v>4.7999999999999989</v>
      </c>
      <c r="AR51" s="27">
        <f t="shared" si="7"/>
        <v>164.29268292682929</v>
      </c>
      <c r="AS51" s="27">
        <v>168.4</v>
      </c>
      <c r="AT51" s="27">
        <v>60.63</v>
      </c>
      <c r="AU51" s="27">
        <v>3.78</v>
      </c>
      <c r="AV51" s="27">
        <v>8</v>
      </c>
      <c r="AX51" s="27">
        <f t="shared" si="18"/>
        <v>4.7999999999999989</v>
      </c>
      <c r="AY51" s="27">
        <f t="shared" si="8"/>
        <v>122.04878048780488</v>
      </c>
      <c r="AZ51" s="27">
        <v>125.1</v>
      </c>
      <c r="BA51" s="27">
        <v>38.770000000000003</v>
      </c>
      <c r="BB51" s="27">
        <v>3.86</v>
      </c>
      <c r="BC51" s="27">
        <v>6.7</v>
      </c>
      <c r="BE51" s="27">
        <f t="shared" si="19"/>
        <v>4.7999999999999989</v>
      </c>
      <c r="BF51" s="27">
        <f t="shared" si="9"/>
        <v>146.2439024390244</v>
      </c>
      <c r="BG51" s="27">
        <v>149.9</v>
      </c>
      <c r="BH51" s="27">
        <v>40.200000000000003</v>
      </c>
      <c r="BI51" s="27">
        <v>3.7</v>
      </c>
      <c r="BJ51" s="27">
        <v>6.7</v>
      </c>
      <c r="BL51" s="27">
        <f t="shared" si="20"/>
        <v>4.7999999999999989</v>
      </c>
      <c r="BM51" s="27">
        <f t="shared" si="10"/>
        <v>77.268292682926841</v>
      </c>
      <c r="BN51" s="29">
        <v>79.2</v>
      </c>
      <c r="BO51" s="27">
        <v>25.52</v>
      </c>
      <c r="BP51" s="27">
        <f t="shared" si="22"/>
        <v>3.7099999999999942</v>
      </c>
      <c r="BQ51" s="27">
        <v>3.6</v>
      </c>
    </row>
    <row r="52" spans="1:69" ht="12.75" customHeight="1" x14ac:dyDescent="0.2">
      <c r="H52" s="27">
        <f t="shared" si="12"/>
        <v>4.8999999999999986</v>
      </c>
      <c r="I52" s="27">
        <f t="shared" si="2"/>
        <v>86.634146341463421</v>
      </c>
      <c r="J52" s="27">
        <v>88.8</v>
      </c>
      <c r="K52" s="27">
        <v>81.349999999999994</v>
      </c>
      <c r="L52" s="27">
        <v>2.95</v>
      </c>
      <c r="M52" s="27">
        <v>33.299999999999997</v>
      </c>
      <c r="AQ52" s="27">
        <f t="shared" si="17"/>
        <v>4.8999999999999986</v>
      </c>
      <c r="AR52" s="27">
        <f t="shared" si="7"/>
        <v>167.90243902439025</v>
      </c>
      <c r="AS52" s="27">
        <v>172.1</v>
      </c>
      <c r="AT52" s="27">
        <v>60.64</v>
      </c>
      <c r="AU52" s="27">
        <v>3.83</v>
      </c>
      <c r="AV52" s="27">
        <v>8</v>
      </c>
      <c r="AX52" s="27">
        <f t="shared" si="18"/>
        <v>4.8999999999999986</v>
      </c>
      <c r="AY52" s="27">
        <f t="shared" si="8"/>
        <v>125.07317073170732</v>
      </c>
      <c r="AZ52" s="27">
        <v>128.19999999999999</v>
      </c>
      <c r="BA52" s="27">
        <v>38.81</v>
      </c>
      <c r="BB52" s="27">
        <v>3.91</v>
      </c>
      <c r="BC52" s="27">
        <v>6.7</v>
      </c>
      <c r="BE52" s="27">
        <f t="shared" si="19"/>
        <v>4.8999999999999986</v>
      </c>
      <c r="BF52" s="27">
        <f t="shared" si="9"/>
        <v>146.63414634146343</v>
      </c>
      <c r="BG52" s="27">
        <v>150.30000000000001</v>
      </c>
      <c r="BH52" s="27">
        <v>40.200000000000003</v>
      </c>
      <c r="BI52" s="27">
        <v>3.75</v>
      </c>
      <c r="BJ52" s="27">
        <v>6.7</v>
      </c>
      <c r="BL52" s="27">
        <f t="shared" si="20"/>
        <v>4.8999999999999986</v>
      </c>
      <c r="BM52" s="27">
        <f t="shared" si="10"/>
        <v>78.926829268292693</v>
      </c>
      <c r="BN52" s="29">
        <v>80.900000000000006</v>
      </c>
      <c r="BO52" s="27">
        <v>25.52</v>
      </c>
      <c r="BP52" s="27">
        <f t="shared" si="22"/>
        <v>3.759999999999994</v>
      </c>
      <c r="BQ52" s="27">
        <v>3.6</v>
      </c>
    </row>
    <row r="53" spans="1:69" ht="12.75" customHeight="1" x14ac:dyDescent="0.2">
      <c r="H53" s="27">
        <f t="shared" si="12"/>
        <v>4.9999999999999982</v>
      </c>
      <c r="I53" s="27">
        <f t="shared" si="2"/>
        <v>89.756097560975618</v>
      </c>
      <c r="J53" s="27">
        <v>92</v>
      </c>
      <c r="K53" s="27">
        <v>81.36</v>
      </c>
      <c r="L53" s="27">
        <v>3.02</v>
      </c>
      <c r="M53" s="27">
        <v>35.1</v>
      </c>
      <c r="AQ53" s="27">
        <f t="shared" si="17"/>
        <v>4.9999999999999982</v>
      </c>
      <c r="AR53" s="27">
        <f t="shared" si="7"/>
        <v>171.51219512195124</v>
      </c>
      <c r="AS53" s="27">
        <v>175.8</v>
      </c>
      <c r="AT53" s="27">
        <v>60.65</v>
      </c>
      <c r="AU53" s="27">
        <v>3.88</v>
      </c>
      <c r="AV53" s="27">
        <v>8</v>
      </c>
      <c r="AX53" s="27">
        <f t="shared" si="18"/>
        <v>4.9999999999999982</v>
      </c>
      <c r="AY53" s="27">
        <f t="shared" si="8"/>
        <v>128.09756097560978</v>
      </c>
      <c r="AZ53" s="27">
        <v>131.30000000000001</v>
      </c>
      <c r="BA53" s="27">
        <v>38.840000000000003</v>
      </c>
      <c r="BB53" s="27">
        <v>3.97</v>
      </c>
      <c r="BC53" s="27">
        <v>6.7</v>
      </c>
      <c r="BE53" s="27">
        <f t="shared" si="19"/>
        <v>4.9999999999999982</v>
      </c>
      <c r="BF53" s="27">
        <f t="shared" si="9"/>
        <v>152.29268292682929</v>
      </c>
      <c r="BG53" s="27">
        <v>156.1</v>
      </c>
      <c r="BH53" s="27">
        <v>40.200000000000003</v>
      </c>
      <c r="BI53" s="27">
        <v>3.8</v>
      </c>
      <c r="BJ53" s="27">
        <v>6.7</v>
      </c>
      <c r="BL53" s="27">
        <f t="shared" si="20"/>
        <v>4.9999999999999982</v>
      </c>
      <c r="BM53" s="27">
        <f t="shared" si="10"/>
        <v>80.487804878048792</v>
      </c>
      <c r="BN53" s="29">
        <v>82.5</v>
      </c>
      <c r="BO53" s="27">
        <v>25.52</v>
      </c>
      <c r="BP53" s="27">
        <f t="shared" si="22"/>
        <v>3.8099999999999938</v>
      </c>
      <c r="BQ53" s="27">
        <v>3.6</v>
      </c>
    </row>
    <row r="54" spans="1:69" ht="12.75" customHeight="1" x14ac:dyDescent="0.2">
      <c r="H54" s="27">
        <f t="shared" si="12"/>
        <v>5.0999999999999979</v>
      </c>
      <c r="I54" s="27">
        <f t="shared" si="2"/>
        <v>92.878048780487816</v>
      </c>
      <c r="J54" s="27">
        <v>95.2</v>
      </c>
      <c r="K54" s="27">
        <v>81.36</v>
      </c>
      <c r="L54" s="27">
        <v>3.08</v>
      </c>
      <c r="M54" s="27">
        <v>37</v>
      </c>
      <c r="AQ54" s="27">
        <f t="shared" si="17"/>
        <v>5.0999999999999979</v>
      </c>
      <c r="AR54" s="27">
        <f t="shared" si="7"/>
        <v>175.1219512195122</v>
      </c>
      <c r="AS54" s="27">
        <v>179.5</v>
      </c>
      <c r="AT54" s="27">
        <v>60.67</v>
      </c>
      <c r="AU54" s="27">
        <v>3.93</v>
      </c>
      <c r="AV54" s="27">
        <v>8</v>
      </c>
      <c r="AX54" s="27">
        <f t="shared" si="18"/>
        <v>5.0999999999999979</v>
      </c>
      <c r="AY54" s="27">
        <f t="shared" si="8"/>
        <v>131.1219512195122</v>
      </c>
      <c r="AZ54" s="27">
        <v>134.4</v>
      </c>
      <c r="BA54" s="27">
        <v>38.869999999999997</v>
      </c>
      <c r="BB54" s="27">
        <v>4.0199999999999996</v>
      </c>
      <c r="BC54" s="27">
        <v>6.7</v>
      </c>
      <c r="BE54" s="27">
        <f t="shared" si="19"/>
        <v>5.0999999999999979</v>
      </c>
      <c r="BF54" s="27">
        <f t="shared" si="9"/>
        <v>155.3170731707317</v>
      </c>
      <c r="BG54" s="27">
        <v>159.19999999999999</v>
      </c>
      <c r="BH54" s="27">
        <v>40.200000000000003</v>
      </c>
      <c r="BI54" s="27">
        <v>3.85</v>
      </c>
      <c r="BJ54" s="27">
        <v>6.7</v>
      </c>
      <c r="BL54" s="27">
        <f t="shared" si="20"/>
        <v>5.0999999999999979</v>
      </c>
      <c r="BM54" s="27">
        <f t="shared" si="10"/>
        <v>82.146341463414643</v>
      </c>
      <c r="BN54" s="29">
        <v>84.2</v>
      </c>
      <c r="BO54" s="27">
        <v>25.52</v>
      </c>
      <c r="BP54" s="27">
        <f t="shared" si="22"/>
        <v>3.8599999999999937</v>
      </c>
      <c r="BQ54" s="27">
        <v>3.6</v>
      </c>
    </row>
    <row r="55" spans="1:69" ht="12.75" customHeight="1" x14ac:dyDescent="0.2">
      <c r="H55" s="27">
        <f t="shared" si="12"/>
        <v>5.1999999999999975</v>
      </c>
      <c r="I55" s="27">
        <f t="shared" si="2"/>
        <v>96.000000000000014</v>
      </c>
      <c r="J55" s="27">
        <v>98.4</v>
      </c>
      <c r="K55" s="27">
        <v>81.37</v>
      </c>
      <c r="L55" s="27">
        <v>3.15</v>
      </c>
      <c r="M55" s="27">
        <v>39</v>
      </c>
      <c r="AQ55" s="27">
        <f t="shared" si="17"/>
        <v>5.1999999999999975</v>
      </c>
      <c r="AR55" s="27">
        <f t="shared" si="7"/>
        <v>178.73170731707319</v>
      </c>
      <c r="AS55" s="27">
        <v>183.2</v>
      </c>
      <c r="AT55" s="27">
        <v>60.68</v>
      </c>
      <c r="AU55" s="27">
        <v>3.98</v>
      </c>
      <c r="AV55" s="27">
        <v>8</v>
      </c>
      <c r="AX55" s="27">
        <f t="shared" si="18"/>
        <v>5.1999999999999975</v>
      </c>
      <c r="AY55" s="27">
        <f t="shared" si="8"/>
        <v>134.14634146341464</v>
      </c>
      <c r="AZ55" s="27">
        <v>137.5</v>
      </c>
      <c r="BA55" s="27">
        <v>38.9</v>
      </c>
      <c r="BB55" s="27">
        <v>4.08</v>
      </c>
      <c r="BC55" s="27">
        <v>6.7</v>
      </c>
      <c r="BE55" s="27">
        <f t="shared" si="19"/>
        <v>5.1999999999999975</v>
      </c>
      <c r="BF55" s="27">
        <f t="shared" si="9"/>
        <v>158.34146341463418</v>
      </c>
      <c r="BG55" s="27">
        <v>162.30000000000001</v>
      </c>
      <c r="BH55" s="27">
        <v>40.200000000000003</v>
      </c>
      <c r="BI55" s="27">
        <v>3.9</v>
      </c>
      <c r="BJ55" s="27">
        <v>6.7</v>
      </c>
      <c r="BL55" s="27">
        <f t="shared" si="20"/>
        <v>5.1999999999999975</v>
      </c>
      <c r="BM55" s="27">
        <f t="shared" si="10"/>
        <v>83.707317073170742</v>
      </c>
      <c r="BN55" s="29">
        <v>85.8</v>
      </c>
      <c r="BO55" s="27">
        <v>25.52</v>
      </c>
      <c r="BP55" s="27">
        <f t="shared" si="22"/>
        <v>3.9099999999999935</v>
      </c>
      <c r="BQ55" s="27">
        <v>3.6</v>
      </c>
    </row>
    <row r="56" spans="1:69" ht="12.75" customHeight="1" x14ac:dyDescent="0.2">
      <c r="H56" s="27">
        <f t="shared" si="12"/>
        <v>5.2999999999999972</v>
      </c>
      <c r="I56" s="27">
        <f t="shared" si="2"/>
        <v>99.317073170731717</v>
      </c>
      <c r="J56" s="27">
        <v>101.8</v>
      </c>
      <c r="K56" s="27">
        <v>81.38</v>
      </c>
      <c r="L56" s="27">
        <v>3.22</v>
      </c>
      <c r="M56" s="27">
        <v>41</v>
      </c>
      <c r="AQ56" s="27">
        <f t="shared" si="17"/>
        <v>5.2999999999999972</v>
      </c>
      <c r="AR56" s="27">
        <f t="shared" si="7"/>
        <v>182.34146341463418</v>
      </c>
      <c r="AS56" s="27">
        <v>186.9</v>
      </c>
      <c r="AT56" s="27">
        <v>60.69</v>
      </c>
      <c r="AU56" s="27">
        <v>4.032</v>
      </c>
      <c r="AV56" s="27">
        <v>7.9</v>
      </c>
      <c r="AX56" s="27">
        <f t="shared" si="18"/>
        <v>5.2999999999999972</v>
      </c>
      <c r="AY56" s="27">
        <f t="shared" si="8"/>
        <v>137.26829268292684</v>
      </c>
      <c r="AZ56" s="27">
        <v>140.69999999999999</v>
      </c>
      <c r="BA56" s="27">
        <v>38.93</v>
      </c>
      <c r="BB56" s="27">
        <v>4.13</v>
      </c>
      <c r="BC56" s="27">
        <v>6.7</v>
      </c>
      <c r="BE56" s="27">
        <f t="shared" si="19"/>
        <v>5.2999999999999972</v>
      </c>
      <c r="BF56" s="27">
        <f t="shared" si="9"/>
        <v>161.36585365853659</v>
      </c>
      <c r="BG56" s="27">
        <v>165.4</v>
      </c>
      <c r="BH56" s="27">
        <v>40.200000000000003</v>
      </c>
      <c r="BI56" s="27">
        <v>3.95</v>
      </c>
      <c r="BJ56" s="27">
        <v>6.7</v>
      </c>
      <c r="BL56" s="27">
        <f t="shared" si="20"/>
        <v>5.2999999999999972</v>
      </c>
      <c r="BM56" s="27">
        <f t="shared" si="10"/>
        <v>85.365853658536594</v>
      </c>
      <c r="BN56" s="29">
        <v>87.5</v>
      </c>
      <c r="BO56" s="27">
        <v>25.52</v>
      </c>
      <c r="BP56" s="27">
        <f t="shared" si="22"/>
        <v>3.9599999999999933</v>
      </c>
      <c r="BQ56" s="27">
        <v>3.6</v>
      </c>
    </row>
    <row r="57" spans="1:69" ht="12.75" customHeight="1" x14ac:dyDescent="0.2">
      <c r="H57" s="27">
        <f t="shared" si="12"/>
        <v>5.3999999999999968</v>
      </c>
      <c r="I57" s="27">
        <f t="shared" si="2"/>
        <v>102.63414634146342</v>
      </c>
      <c r="J57" s="27">
        <v>105.2</v>
      </c>
      <c r="K57" s="27">
        <v>81.39</v>
      </c>
      <c r="L57" s="27">
        <v>3.29</v>
      </c>
      <c r="M57" s="27">
        <v>43.2</v>
      </c>
      <c r="AQ57" s="27">
        <f t="shared" si="17"/>
        <v>5.3999999999999968</v>
      </c>
      <c r="AR57" s="27">
        <f t="shared" si="7"/>
        <v>183.41463414634148</v>
      </c>
      <c r="AS57" s="27">
        <v>188</v>
      </c>
      <c r="AT57" s="27">
        <v>60.69</v>
      </c>
      <c r="AU57" s="27">
        <v>4.4000000000000004</v>
      </c>
      <c r="AV57" s="27">
        <v>0</v>
      </c>
      <c r="AX57" s="27">
        <f t="shared" si="18"/>
        <v>5.3999999999999968</v>
      </c>
      <c r="AY57" s="27">
        <f t="shared" si="8"/>
        <v>138.14634146341464</v>
      </c>
      <c r="AZ57" s="27">
        <v>141.6</v>
      </c>
      <c r="BA57" s="27">
        <v>38.94</v>
      </c>
      <c r="BB57" s="27">
        <v>4.1500000000000004</v>
      </c>
      <c r="BC57" s="27">
        <v>0</v>
      </c>
      <c r="BE57" s="27">
        <f t="shared" si="19"/>
        <v>5.3999999999999968</v>
      </c>
      <c r="BF57" s="27">
        <f t="shared" si="9"/>
        <v>162.34146341463418</v>
      </c>
      <c r="BG57" s="27">
        <v>166.4</v>
      </c>
      <c r="BH57" s="27">
        <v>40.200000000000003</v>
      </c>
      <c r="BI57" s="27">
        <v>3.96</v>
      </c>
      <c r="BJ57" s="27">
        <v>0</v>
      </c>
      <c r="BL57" s="27">
        <f t="shared" si="20"/>
        <v>5.3999999999999968</v>
      </c>
      <c r="BM57" s="27">
        <f t="shared" si="10"/>
        <v>85.853658536585371</v>
      </c>
      <c r="BN57" s="29">
        <v>88</v>
      </c>
      <c r="BO57" s="27">
        <v>25.52</v>
      </c>
      <c r="BP57" s="27">
        <v>3.97</v>
      </c>
      <c r="BQ57" s="27">
        <v>3.6</v>
      </c>
    </row>
    <row r="58" spans="1:69" ht="12.75" customHeight="1" x14ac:dyDescent="0.2">
      <c r="H58" s="27">
        <f t="shared" si="12"/>
        <v>5.4999999999999964</v>
      </c>
      <c r="I58" s="27">
        <f t="shared" si="2"/>
        <v>106.04878048780489</v>
      </c>
      <c r="J58" s="27">
        <v>108.7</v>
      </c>
      <c r="K58" s="27">
        <v>81.400000000000006</v>
      </c>
      <c r="L58" s="27">
        <v>3.36</v>
      </c>
      <c r="M58" s="27">
        <v>45.4</v>
      </c>
    </row>
    <row r="59" spans="1:69" ht="12.75" customHeight="1" x14ac:dyDescent="0.2">
      <c r="D59" s="30"/>
      <c r="E59" s="28"/>
      <c r="H59" s="27">
        <f t="shared" si="12"/>
        <v>5.5999999999999961</v>
      </c>
      <c r="I59" s="27">
        <f t="shared" si="2"/>
        <v>109.46341463414636</v>
      </c>
      <c r="J59" s="27">
        <v>112.2</v>
      </c>
      <c r="K59" s="27">
        <v>81.41</v>
      </c>
      <c r="L59" s="27">
        <v>3.43</v>
      </c>
      <c r="M59" s="27">
        <v>47.6</v>
      </c>
    </row>
    <row r="60" spans="1:69" ht="12.75" customHeight="1" x14ac:dyDescent="0.2">
      <c r="A60" s="28"/>
      <c r="B60" s="28"/>
      <c r="D60" s="30"/>
      <c r="E60" s="28"/>
      <c r="H60" s="27">
        <f t="shared" si="12"/>
        <v>5.6999999999999957</v>
      </c>
      <c r="I60" s="27">
        <f t="shared" si="2"/>
        <v>113.07317073170734</v>
      </c>
      <c r="J60" s="27">
        <v>115.9</v>
      </c>
      <c r="K60" s="27">
        <v>81.42</v>
      </c>
      <c r="L60" s="27">
        <v>3.5</v>
      </c>
      <c r="M60" s="27">
        <v>50</v>
      </c>
    </row>
    <row r="61" spans="1:69" ht="12.75" customHeight="1" x14ac:dyDescent="0.2">
      <c r="A61" s="28"/>
      <c r="B61" s="28"/>
      <c r="H61" s="27">
        <f t="shared" si="12"/>
        <v>5.7999999999999954</v>
      </c>
      <c r="I61" s="27">
        <f t="shared" si="2"/>
        <v>116.6829268292683</v>
      </c>
      <c r="J61" s="27">
        <v>119.6</v>
      </c>
      <c r="K61" s="27">
        <v>81.430000000000007</v>
      </c>
      <c r="L61" s="27">
        <v>3.57</v>
      </c>
      <c r="M61" s="27">
        <v>52.4</v>
      </c>
    </row>
    <row r="62" spans="1:69" ht="12.75" customHeight="1" x14ac:dyDescent="0.2">
      <c r="A62" s="28"/>
      <c r="B62" s="28"/>
      <c r="C62" s="30"/>
      <c r="H62" s="27">
        <f t="shared" si="12"/>
        <v>5.899999999999995</v>
      </c>
      <c r="I62" s="27">
        <f t="shared" si="2"/>
        <v>120.48780487804879</v>
      </c>
      <c r="J62" s="27">
        <v>123.5</v>
      </c>
      <c r="K62" s="27">
        <v>81.44</v>
      </c>
      <c r="L62" s="27">
        <v>3.64</v>
      </c>
      <c r="M62" s="27">
        <v>55</v>
      </c>
    </row>
    <row r="63" spans="1:69" ht="12.75" customHeight="1" x14ac:dyDescent="0.2">
      <c r="A63" s="28"/>
      <c r="B63" s="28"/>
      <c r="C63" s="30"/>
      <c r="H63" s="27">
        <f t="shared" si="12"/>
        <v>5.9999999999999947</v>
      </c>
      <c r="I63" s="27">
        <f t="shared" si="2"/>
        <v>124.29268292682929</v>
      </c>
      <c r="J63" s="27">
        <v>127.4</v>
      </c>
      <c r="K63" s="27">
        <v>81.45</v>
      </c>
      <c r="L63" s="27">
        <v>3.71</v>
      </c>
      <c r="M63" s="27">
        <v>57.7</v>
      </c>
    </row>
    <row r="64" spans="1:69" ht="12.75" customHeight="1" x14ac:dyDescent="0.2">
      <c r="A64" s="28"/>
      <c r="B64" s="28"/>
      <c r="H64" s="27">
        <f t="shared" si="12"/>
        <v>6.0999999999999943</v>
      </c>
      <c r="I64" s="27">
        <f t="shared" si="2"/>
        <v>128.29268292682929</v>
      </c>
      <c r="J64" s="27">
        <v>131.5</v>
      </c>
      <c r="K64" s="27">
        <v>81.459999999999994</v>
      </c>
      <c r="L64" s="27">
        <v>3.79</v>
      </c>
      <c r="M64" s="27">
        <v>60.6</v>
      </c>
    </row>
    <row r="65" spans="1:13" ht="12.75" customHeight="1" x14ac:dyDescent="0.2">
      <c r="A65" s="28"/>
      <c r="B65" s="28"/>
      <c r="H65" s="27">
        <f t="shared" si="12"/>
        <v>6.199999999999994</v>
      </c>
      <c r="I65" s="27">
        <f t="shared" si="2"/>
        <v>132.29268292682929</v>
      </c>
      <c r="J65" s="27">
        <v>135.6</v>
      </c>
      <c r="K65" s="27">
        <v>81.47</v>
      </c>
      <c r="L65" s="27">
        <v>3.86</v>
      </c>
      <c r="M65" s="27">
        <v>63.6</v>
      </c>
    </row>
    <row r="66" spans="1:13" ht="12.75" customHeight="1" x14ac:dyDescent="0.2">
      <c r="A66" s="28"/>
      <c r="B66" s="28"/>
      <c r="H66" s="27">
        <f t="shared" si="12"/>
        <v>6.2999999999999936</v>
      </c>
      <c r="I66" s="27">
        <f t="shared" si="2"/>
        <v>136.48780487804879</v>
      </c>
      <c r="J66" s="27">
        <v>139.9</v>
      </c>
      <c r="K66" s="27">
        <v>81.48</v>
      </c>
      <c r="L66" s="27">
        <v>3.93</v>
      </c>
      <c r="M66" s="27">
        <v>66.7</v>
      </c>
    </row>
    <row r="67" spans="1:13" ht="12.75" customHeight="1" x14ac:dyDescent="0.2">
      <c r="A67" s="28"/>
      <c r="B67" s="28"/>
      <c r="H67" s="27">
        <f t="shared" si="12"/>
        <v>6.3999999999999932</v>
      </c>
      <c r="I67" s="27">
        <f t="shared" si="2"/>
        <v>140.6829268292683</v>
      </c>
      <c r="J67" s="27">
        <v>144.19999999999999</v>
      </c>
      <c r="K67" s="27">
        <v>81.489999999999995</v>
      </c>
      <c r="L67" s="27">
        <v>4.0999999999999996</v>
      </c>
      <c r="M67" s="27">
        <v>69.900000000000006</v>
      </c>
    </row>
    <row r="68" spans="1:13" ht="12.75" customHeight="1" x14ac:dyDescent="0.2">
      <c r="A68" s="28"/>
      <c r="B68" s="28"/>
      <c r="H68" s="27">
        <f t="shared" si="12"/>
        <v>6.4999999999999929</v>
      </c>
      <c r="I68" s="27">
        <f>J68/1.025</f>
        <v>144.09756097560975</v>
      </c>
      <c r="J68" s="27">
        <v>147.69999999999999</v>
      </c>
      <c r="K68" s="27">
        <v>81.5</v>
      </c>
      <c r="L68" s="27">
        <v>4.08</v>
      </c>
      <c r="M68" s="27">
        <v>73.3</v>
      </c>
    </row>
    <row r="69" spans="1:13" ht="12.75" customHeight="1" x14ac:dyDescent="0.2">
      <c r="A69" s="28"/>
      <c r="B69" s="28"/>
      <c r="H69" s="27">
        <f t="shared" si="12"/>
        <v>6.5999999999999925</v>
      </c>
      <c r="I69" s="27">
        <f>J69/1.025</f>
        <v>149.46341463414635</v>
      </c>
      <c r="J69" s="27">
        <v>153.19999999999999</v>
      </c>
      <c r="K69" s="27">
        <v>81.52</v>
      </c>
      <c r="L69" s="27">
        <v>4.16</v>
      </c>
      <c r="M69" s="27">
        <v>76.8</v>
      </c>
    </row>
    <row r="70" spans="1:13" ht="12.75" customHeight="1" x14ac:dyDescent="0.2">
      <c r="D70" s="30"/>
      <c r="H70" s="27">
        <f>H69+0.1</f>
        <v>6.6999999999999922</v>
      </c>
      <c r="I70" s="27">
        <f>J70/1.025</f>
        <v>153.7560975609756</v>
      </c>
      <c r="J70" s="27">
        <v>157.6</v>
      </c>
      <c r="K70" s="27">
        <v>81.53</v>
      </c>
      <c r="L70" s="27">
        <v>4.2300000000000004</v>
      </c>
      <c r="M70" s="27">
        <v>35.299999999999997</v>
      </c>
    </row>
    <row r="71" spans="1:13" ht="12.75" customHeight="1" x14ac:dyDescent="0.2">
      <c r="H71" s="27">
        <f>H70+0.1</f>
        <v>6.7999999999999918</v>
      </c>
      <c r="I71" s="27">
        <f>J71/1.025</f>
        <v>156.29268292682926</v>
      </c>
      <c r="J71" s="27">
        <v>160.19999999999999</v>
      </c>
      <c r="K71" s="27">
        <v>81.55</v>
      </c>
      <c r="L71" s="27">
        <v>4.2699999999999996</v>
      </c>
      <c r="M71" s="27">
        <v>0.9</v>
      </c>
    </row>
    <row r="73" spans="1:13" ht="12.75" customHeight="1" x14ac:dyDescent="0.2">
      <c r="C73" s="30"/>
    </row>
    <row r="86" spans="7:7" ht="12.75" customHeight="1" x14ac:dyDescent="0.2">
      <c r="G86" s="29"/>
    </row>
    <row r="87" spans="7:7" ht="12.75" customHeight="1" x14ac:dyDescent="0.2">
      <c r="G87" s="29"/>
    </row>
    <row r="88" spans="7:7" ht="12.75" customHeight="1" x14ac:dyDescent="0.2">
      <c r="G88" s="29"/>
    </row>
    <row r="89" spans="7:7" ht="12.75" customHeight="1" x14ac:dyDescent="0.2">
      <c r="G89" s="29"/>
    </row>
    <row r="90" spans="7:7" ht="12.75" customHeight="1" x14ac:dyDescent="0.2">
      <c r="G90" s="29"/>
    </row>
    <row r="91" spans="7:7" ht="12.75" customHeight="1" x14ac:dyDescent="0.2">
      <c r="G91" s="29"/>
    </row>
  </sheetData>
  <sheetProtection password="CEC6" sheet="1" objects="1" scenarios="1"/>
  <mergeCells count="11">
    <mergeCell ref="A1:F1"/>
    <mergeCell ref="H1:M1"/>
    <mergeCell ref="O1:T1"/>
    <mergeCell ref="V1:AA1"/>
    <mergeCell ref="BE1:BJ1"/>
    <mergeCell ref="BL1:BQ1"/>
    <mergeCell ref="BS1:BX1"/>
    <mergeCell ref="AC1:AH1"/>
    <mergeCell ref="AJ1:AO1"/>
    <mergeCell ref="AQ1:AV1"/>
    <mergeCell ref="AX1:BC1"/>
  </mergeCells>
  <phoneticPr fontId="3" type="noConversion"/>
  <pageMargins left="2.7" right="0.75" top="1" bottom="1" header="0.5" footer="0.5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 IN PUT</vt:lpstr>
      <vt:lpstr>DATA OUT</vt:lpstr>
      <vt:lpstr>GZ CURVE</vt:lpstr>
      <vt:lpstr>CARGO PLAN</vt:lpstr>
      <vt:lpstr>Hydrostatic Table</vt:lpstr>
      <vt:lpstr>KN TABLE</vt:lpstr>
      <vt:lpstr>Calc</vt:lpstr>
      <vt:lpstr>Sounding table</vt:lpstr>
    </vt:vector>
  </TitlesOfParts>
  <Company>Kimia Computer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IRAN BASHEER</dc:creator>
  <cp:lastModifiedBy>Aleksandr</cp:lastModifiedBy>
  <cp:lastPrinted>2013-04-07T06:37:16Z</cp:lastPrinted>
  <dcterms:created xsi:type="dcterms:W3CDTF">2006-12-04T09:53:03Z</dcterms:created>
  <dcterms:modified xsi:type="dcterms:W3CDTF">2013-09-13T08:57:50Z</dcterms:modified>
</cp:coreProperties>
</file>