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ext\Desktop\Torr\"/>
    </mc:Choice>
  </mc:AlternateContent>
  <workbookProtection workbookPassword="CC15" lockStructure="1"/>
  <bookViews>
    <workbookView xWindow="-15" yWindow="405" windowWidth="24240" windowHeight="5745"/>
  </bookViews>
  <sheets>
    <sheet name="GREAT CIRCLE" sheetId="1" r:id="rId1"/>
    <sheet name="GC" sheetId="2" state="hidden" r:id="rId2"/>
    <sheet name="G" sheetId="5" r:id="rId3"/>
    <sheet name="C_R" sheetId="3" state="hidden" r:id="rId4"/>
    <sheet name="G_1" sheetId="6" r:id="rId5"/>
    <sheet name="RHUMBLINE SAILING" sheetId="4" r:id="rId6"/>
  </sheets>
  <definedNames>
    <definedName name="LAT">GC!$B$2:$B$5</definedName>
    <definedName name="NOO">GC!$J$2:$J$9</definedName>
    <definedName name="_xlnm.Print_Area" localSheetId="2">G!$A$1:$M$38</definedName>
    <definedName name="_xlnm.Print_Area" localSheetId="4">G_1!$A$1:$M$38</definedName>
    <definedName name="_xlnm.Print_Area" localSheetId="0">'GREAT CIRCLE'!$A$1:$H$62</definedName>
    <definedName name="_xlnm.Print_Area" localSheetId="5">'RHUMBLINE SAILING'!$A$7:$F$67</definedName>
    <definedName name="SIMPLE" localSheetId="3">C_R!$AP$4:$AP$8</definedName>
    <definedName name="SIMPLE" localSheetId="5">C_R!$AP$4:$AP$8</definedName>
    <definedName name="SIMPLE">GC!$D$2:$D$6</definedName>
    <definedName name="TC" localSheetId="3">C_R!$AM$4:$AM$6</definedName>
    <definedName name="TC" localSheetId="5">C_R!$AM$4:$AM$6</definedName>
    <definedName name="TC">GC!$F$2:$F$4</definedName>
    <definedName name="YES" localSheetId="3">C_R!$AM$7:$AM$8</definedName>
    <definedName name="YES" localSheetId="5">C_R!$AM$7:$AM$8</definedName>
    <definedName name="YES">GC!$H$2:$H$3</definedName>
  </definedNames>
  <calcPr calcId="152511"/>
</workbook>
</file>

<file path=xl/calcChain.xml><?xml version="1.0" encoding="utf-8"?>
<calcChain xmlns="http://schemas.openxmlformats.org/spreadsheetml/2006/main">
  <c r="D4" i="6" l="1"/>
  <c r="C4" i="6"/>
  <c r="D3" i="6"/>
  <c r="C3" i="6"/>
  <c r="A1" i="6"/>
  <c r="BC20" i="2" l="1"/>
  <c r="A1" i="5" l="1"/>
  <c r="B11" i="2" l="1"/>
  <c r="D3" i="5" l="1"/>
  <c r="D4" i="5"/>
  <c r="C4" i="5"/>
  <c r="C3" i="5"/>
  <c r="M16" i="2" l="1"/>
  <c r="B14" i="2" l="1"/>
  <c r="N16" i="2" l="1"/>
  <c r="M17" i="2"/>
  <c r="A11" i="2"/>
  <c r="E7" i="1" l="1"/>
  <c r="J8" i="1"/>
  <c r="I8" i="1"/>
  <c r="I14" i="2" l="1"/>
  <c r="I17" i="2" l="1"/>
  <c r="C11" i="2"/>
  <c r="H64" i="3"/>
  <c r="I64" i="3"/>
  <c r="A2" i="3"/>
  <c r="B5" i="3"/>
  <c r="X16" i="2" l="1"/>
  <c r="A9" i="4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/>
  <c r="A30" i="4"/>
  <c r="A31" i="4"/>
  <c r="A32" i="4"/>
  <c r="A33" i="4"/>
  <c r="A34" i="4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B2" i="3"/>
  <c r="C2" i="3"/>
  <c r="F1" i="3"/>
  <c r="D2" i="3"/>
  <c r="E15" i="3" s="1"/>
  <c r="G15" i="3" s="1"/>
  <c r="AF15" i="3" s="1"/>
  <c r="F2" i="3"/>
  <c r="A5" i="3"/>
  <c r="A6" i="3"/>
  <c r="B6" i="3"/>
  <c r="A7" i="3"/>
  <c r="B7" i="3"/>
  <c r="A8" i="3"/>
  <c r="B8" i="3"/>
  <c r="A9" i="3"/>
  <c r="B9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D26" i="3"/>
  <c r="E26" i="3"/>
  <c r="G26" i="3" s="1"/>
  <c r="A27" i="3"/>
  <c r="B27" i="3"/>
  <c r="D27" i="3"/>
  <c r="E27" i="3"/>
  <c r="G27" i="3" s="1"/>
  <c r="A28" i="3"/>
  <c r="B28" i="3"/>
  <c r="D28" i="3"/>
  <c r="E28" i="3"/>
  <c r="G28" i="3" s="1"/>
  <c r="A29" i="3"/>
  <c r="B29" i="3"/>
  <c r="D29" i="3"/>
  <c r="X28" i="3" s="1"/>
  <c r="AG28" i="3" s="1"/>
  <c r="D31" i="4" s="1"/>
  <c r="E29" i="3"/>
  <c r="G29" i="3" s="1"/>
  <c r="A30" i="3"/>
  <c r="B30" i="3"/>
  <c r="D30" i="3"/>
  <c r="E30" i="3"/>
  <c r="G30" i="3" s="1"/>
  <c r="A31" i="3"/>
  <c r="B31" i="3"/>
  <c r="D31" i="3"/>
  <c r="E31" i="3"/>
  <c r="G31" i="3" s="1"/>
  <c r="A32" i="3"/>
  <c r="B32" i="3"/>
  <c r="A33" i="3"/>
  <c r="B33" i="3"/>
  <c r="A34" i="3"/>
  <c r="B34" i="3"/>
  <c r="A35" i="3"/>
  <c r="B35" i="3"/>
  <c r="A36" i="3"/>
  <c r="B36" i="3"/>
  <c r="A37" i="3"/>
  <c r="B37" i="3"/>
  <c r="A38" i="3"/>
  <c r="B38" i="3"/>
  <c r="A39" i="3"/>
  <c r="B39" i="3"/>
  <c r="A40" i="3"/>
  <c r="B40" i="3"/>
  <c r="A41" i="3"/>
  <c r="B41" i="3"/>
  <c r="A42" i="3"/>
  <c r="B42" i="3"/>
  <c r="A43" i="3"/>
  <c r="B43" i="3"/>
  <c r="A44" i="3"/>
  <c r="B44" i="3"/>
  <c r="A45" i="3"/>
  <c r="B45" i="3"/>
  <c r="D45" i="3"/>
  <c r="E45" i="3"/>
  <c r="G45" i="3" s="1"/>
  <c r="A46" i="3"/>
  <c r="B46" i="3"/>
  <c r="D46" i="3"/>
  <c r="X45" i="3" s="1"/>
  <c r="AG45" i="3" s="1"/>
  <c r="D48" i="4" s="1"/>
  <c r="E46" i="3"/>
  <c r="G46" i="3" s="1"/>
  <c r="A47" i="3"/>
  <c r="B47" i="3"/>
  <c r="D47" i="3"/>
  <c r="X46" i="3" s="1"/>
  <c r="AG46" i="3" s="1"/>
  <c r="D49" i="4" s="1"/>
  <c r="E47" i="3"/>
  <c r="G47" i="3" s="1"/>
  <c r="A48" i="3"/>
  <c r="B48" i="3"/>
  <c r="D48" i="3"/>
  <c r="E48" i="3"/>
  <c r="G48" i="3" s="1"/>
  <c r="A49" i="3"/>
  <c r="B49" i="3"/>
  <c r="D49" i="3"/>
  <c r="E49" i="3"/>
  <c r="G49" i="3" s="1"/>
  <c r="A50" i="3"/>
  <c r="B50" i="3"/>
  <c r="D50" i="3"/>
  <c r="X49" i="3" s="1"/>
  <c r="AG49" i="3" s="1"/>
  <c r="D52" i="4" s="1"/>
  <c r="E50" i="3"/>
  <c r="G50" i="3" s="1"/>
  <c r="A51" i="3"/>
  <c r="B51" i="3"/>
  <c r="D51" i="3"/>
  <c r="X50" i="3" s="1"/>
  <c r="AG50" i="3" s="1"/>
  <c r="D53" i="4" s="1"/>
  <c r="E51" i="3"/>
  <c r="G51" i="3" s="1"/>
  <c r="A52" i="3"/>
  <c r="B52" i="3"/>
  <c r="D52" i="3"/>
  <c r="E52" i="3"/>
  <c r="G52" i="3" s="1"/>
  <c r="A53" i="3"/>
  <c r="B53" i="3"/>
  <c r="D53" i="3"/>
  <c r="E53" i="3"/>
  <c r="G53" i="3" s="1"/>
  <c r="A54" i="3"/>
  <c r="B54" i="3"/>
  <c r="D54" i="3"/>
  <c r="X53" i="3" s="1"/>
  <c r="AG53" i="3" s="1"/>
  <c r="D56" i="4" s="1"/>
  <c r="E54" i="3"/>
  <c r="G54" i="3" s="1"/>
  <c r="A55" i="3"/>
  <c r="B55" i="3"/>
  <c r="D55" i="3"/>
  <c r="E55" i="3"/>
  <c r="G55" i="3" s="1"/>
  <c r="A56" i="3"/>
  <c r="B56" i="3"/>
  <c r="D56" i="3"/>
  <c r="E56" i="3"/>
  <c r="G56" i="3" s="1"/>
  <c r="A57" i="3"/>
  <c r="B57" i="3"/>
  <c r="D57" i="3"/>
  <c r="X56" i="3" s="1"/>
  <c r="AG56" i="3" s="1"/>
  <c r="D59" i="4" s="1"/>
  <c r="E57" i="3"/>
  <c r="G57" i="3" s="1"/>
  <c r="A58" i="3"/>
  <c r="B58" i="3"/>
  <c r="D58" i="3"/>
  <c r="E58" i="3"/>
  <c r="G58" i="3" s="1"/>
  <c r="A59" i="3"/>
  <c r="B59" i="3"/>
  <c r="D59" i="3"/>
  <c r="X58" i="3" s="1"/>
  <c r="AG58" i="3" s="1"/>
  <c r="D61" i="4" s="1"/>
  <c r="E59" i="3"/>
  <c r="G59" i="3" s="1"/>
  <c r="A60" i="3"/>
  <c r="B60" i="3"/>
  <c r="D60" i="3"/>
  <c r="E60" i="3"/>
  <c r="G60" i="3" s="1"/>
  <c r="A61" i="3"/>
  <c r="B61" i="3"/>
  <c r="D61" i="3"/>
  <c r="E61" i="3"/>
  <c r="G61" i="3" s="1"/>
  <c r="A62" i="3"/>
  <c r="B62" i="3"/>
  <c r="D62" i="3"/>
  <c r="E62" i="3"/>
  <c r="G62" i="3" s="1"/>
  <c r="A63" i="3"/>
  <c r="B63" i="3"/>
  <c r="D63" i="3"/>
  <c r="E63" i="3"/>
  <c r="G63" i="3" s="1"/>
  <c r="A64" i="3"/>
  <c r="B64" i="3"/>
  <c r="D64" i="3"/>
  <c r="X63" i="3" s="1"/>
  <c r="AG63" i="3" s="1"/>
  <c r="D66" i="4" s="1"/>
  <c r="E64" i="3"/>
  <c r="G64" i="3" s="1"/>
  <c r="I27" i="3" l="1"/>
  <c r="AS28" i="3" s="1"/>
  <c r="AF28" i="3"/>
  <c r="I55" i="3"/>
  <c r="AS56" i="3" s="1"/>
  <c r="AF56" i="3"/>
  <c r="I25" i="3"/>
  <c r="AS26" i="3" s="1"/>
  <c r="AF26" i="3"/>
  <c r="I63" i="3"/>
  <c r="AS64" i="3" s="1"/>
  <c r="AF64" i="3"/>
  <c r="I57" i="3"/>
  <c r="AS58" i="3" s="1"/>
  <c r="AF58" i="3"/>
  <c r="I49" i="3"/>
  <c r="AS50" i="3" s="1"/>
  <c r="AF50" i="3"/>
  <c r="I30" i="3"/>
  <c r="AS31" i="3" s="1"/>
  <c r="AF31" i="3"/>
  <c r="I28" i="3"/>
  <c r="AS29" i="3" s="1"/>
  <c r="AF29" i="3"/>
  <c r="I26" i="3"/>
  <c r="AS27" i="3" s="1"/>
  <c r="AF27" i="3"/>
  <c r="I29" i="3"/>
  <c r="AS30" i="3" s="1"/>
  <c r="AF30" i="3"/>
  <c r="I61" i="3"/>
  <c r="AS62" i="3" s="1"/>
  <c r="AF62" i="3"/>
  <c r="I53" i="3"/>
  <c r="AS54" i="3" s="1"/>
  <c r="AF54" i="3"/>
  <c r="I45" i="3"/>
  <c r="AS46" i="3" s="1"/>
  <c r="AF46" i="3"/>
  <c r="I59" i="3"/>
  <c r="AS60" i="3" s="1"/>
  <c r="AF60" i="3"/>
  <c r="I51" i="3"/>
  <c r="AS52" i="3" s="1"/>
  <c r="AF52" i="3"/>
  <c r="I47" i="3"/>
  <c r="AS48" i="3" s="1"/>
  <c r="AF48" i="3"/>
  <c r="I62" i="3"/>
  <c r="AS63" i="3" s="1"/>
  <c r="AF63" i="3"/>
  <c r="I60" i="3"/>
  <c r="AS61" i="3" s="1"/>
  <c r="AF61" i="3"/>
  <c r="I58" i="3"/>
  <c r="AS59" i="3" s="1"/>
  <c r="AF59" i="3"/>
  <c r="I56" i="3"/>
  <c r="AS57" i="3" s="1"/>
  <c r="AF57" i="3"/>
  <c r="I54" i="3"/>
  <c r="AS55" i="3" s="1"/>
  <c r="AF55" i="3"/>
  <c r="I52" i="3"/>
  <c r="AS53" i="3" s="1"/>
  <c r="AF53" i="3"/>
  <c r="I50" i="3"/>
  <c r="AS51" i="3" s="1"/>
  <c r="AF51" i="3"/>
  <c r="I48" i="3"/>
  <c r="AS49" i="3" s="1"/>
  <c r="AF49" i="3"/>
  <c r="I46" i="3"/>
  <c r="AS47" i="3" s="1"/>
  <c r="AF47" i="3"/>
  <c r="I44" i="3"/>
  <c r="AS45" i="3" s="1"/>
  <c r="AF45" i="3"/>
  <c r="F30" i="3"/>
  <c r="X29" i="3"/>
  <c r="AG29" i="3" s="1"/>
  <c r="D32" i="4" s="1"/>
  <c r="F28" i="3"/>
  <c r="X27" i="3"/>
  <c r="AG27" i="3" s="1"/>
  <c r="D30" i="4" s="1"/>
  <c r="F62" i="3"/>
  <c r="X61" i="3"/>
  <c r="AG61" i="3" s="1"/>
  <c r="D64" i="4" s="1"/>
  <c r="F27" i="3"/>
  <c r="X26" i="3"/>
  <c r="AG26" i="3" s="1"/>
  <c r="D29" i="4" s="1"/>
  <c r="F26" i="3"/>
  <c r="X25" i="3"/>
  <c r="AG25" i="3" s="1"/>
  <c r="D28" i="4" s="1"/>
  <c r="F58" i="3"/>
  <c r="X57" i="3"/>
  <c r="AG57" i="3" s="1"/>
  <c r="D60" i="4" s="1"/>
  <c r="F52" i="3"/>
  <c r="X51" i="3"/>
  <c r="AG51" i="3" s="1"/>
  <c r="D54" i="4" s="1"/>
  <c r="F48" i="3"/>
  <c r="X47" i="3"/>
  <c r="AG47" i="3" s="1"/>
  <c r="D50" i="4" s="1"/>
  <c r="F63" i="3"/>
  <c r="X62" i="3"/>
  <c r="AG62" i="3" s="1"/>
  <c r="D65" i="4" s="1"/>
  <c r="F61" i="3"/>
  <c r="X60" i="3"/>
  <c r="AG60" i="3" s="1"/>
  <c r="D63" i="4" s="1"/>
  <c r="F55" i="3"/>
  <c r="X54" i="3"/>
  <c r="AG54" i="3" s="1"/>
  <c r="D57" i="4" s="1"/>
  <c r="F53" i="3"/>
  <c r="X52" i="3"/>
  <c r="AG52" i="3" s="1"/>
  <c r="D55" i="4" s="1"/>
  <c r="F49" i="3"/>
  <c r="X48" i="3"/>
  <c r="AG48" i="3" s="1"/>
  <c r="D51" i="4" s="1"/>
  <c r="F45" i="3"/>
  <c r="X44" i="3"/>
  <c r="AG44" i="3" s="1"/>
  <c r="D47" i="4" s="1"/>
  <c r="F60" i="3"/>
  <c r="X59" i="3"/>
  <c r="AG59" i="3" s="1"/>
  <c r="D62" i="4" s="1"/>
  <c r="F56" i="3"/>
  <c r="X55" i="3"/>
  <c r="AG55" i="3" s="1"/>
  <c r="D58" i="4" s="1"/>
  <c r="F31" i="3"/>
  <c r="X30" i="3"/>
  <c r="AG30" i="3" s="1"/>
  <c r="D33" i="4" s="1"/>
  <c r="F51" i="3"/>
  <c r="F64" i="3"/>
  <c r="F46" i="3"/>
  <c r="F59" i="3"/>
  <c r="F57" i="3"/>
  <c r="F47" i="3"/>
  <c r="F54" i="3"/>
  <c r="F50" i="3"/>
  <c r="F29" i="3"/>
  <c r="E21" i="3"/>
  <c r="G21" i="3" s="1"/>
  <c r="AF21" i="3" s="1"/>
  <c r="E11" i="3"/>
  <c r="G11" i="3" s="1"/>
  <c r="AF11" i="3" s="1"/>
  <c r="E13" i="3"/>
  <c r="G13" i="3" s="1"/>
  <c r="AF13" i="3" s="1"/>
  <c r="E17" i="3"/>
  <c r="G17" i="3" s="1"/>
  <c r="AF17" i="3" s="1"/>
  <c r="E23" i="3"/>
  <c r="G23" i="3" s="1"/>
  <c r="AF23" i="3" s="1"/>
  <c r="E19" i="3"/>
  <c r="G19" i="3" s="1"/>
  <c r="AF19" i="3" s="1"/>
  <c r="E25" i="3"/>
  <c r="G25" i="3" s="1"/>
  <c r="AF25" i="3" s="1"/>
  <c r="D6" i="3"/>
  <c r="D5" i="3"/>
  <c r="F5" i="3" s="1"/>
  <c r="AE5" i="3" s="1"/>
  <c r="D25" i="3"/>
  <c r="D23" i="3"/>
  <c r="D21" i="3"/>
  <c r="D19" i="3"/>
  <c r="D17" i="3"/>
  <c r="D15" i="3"/>
  <c r="D11" i="3"/>
  <c r="D9" i="3"/>
  <c r="D7" i="3"/>
  <c r="E24" i="3"/>
  <c r="G24" i="3" s="1"/>
  <c r="AF24" i="3" s="1"/>
  <c r="E22" i="3"/>
  <c r="G22" i="3" s="1"/>
  <c r="E20" i="3"/>
  <c r="G20" i="3" s="1"/>
  <c r="AF20" i="3" s="1"/>
  <c r="E18" i="3"/>
  <c r="G18" i="3" s="1"/>
  <c r="AF18" i="3" s="1"/>
  <c r="E16" i="3"/>
  <c r="G16" i="3" s="1"/>
  <c r="E14" i="3"/>
  <c r="G14" i="3" s="1"/>
  <c r="AF14" i="3" s="1"/>
  <c r="E12" i="3"/>
  <c r="G12" i="3" s="1"/>
  <c r="AF12" i="3" s="1"/>
  <c r="E10" i="3"/>
  <c r="G10" i="3" s="1"/>
  <c r="AF10" i="3" s="1"/>
  <c r="E8" i="3"/>
  <c r="G8" i="3" s="1"/>
  <c r="AF8" i="3" s="1"/>
  <c r="E9" i="3"/>
  <c r="G9" i="3" s="1"/>
  <c r="E7" i="3"/>
  <c r="G7" i="3" s="1"/>
  <c r="AF7" i="3" s="1"/>
  <c r="D13" i="3"/>
  <c r="D24" i="3"/>
  <c r="D22" i="3"/>
  <c r="D20" i="3"/>
  <c r="D18" i="3"/>
  <c r="D16" i="3"/>
  <c r="D14" i="3"/>
  <c r="D12" i="3"/>
  <c r="D10" i="3"/>
  <c r="D8" i="3"/>
  <c r="E42" i="3"/>
  <c r="G42" i="3" s="1"/>
  <c r="D37" i="3"/>
  <c r="X36" i="3" s="1"/>
  <c r="AG36" i="3" s="1"/>
  <c r="D39" i="4" s="1"/>
  <c r="E43" i="3"/>
  <c r="G43" i="3" s="1"/>
  <c r="E38" i="3"/>
  <c r="G38" i="3" s="1"/>
  <c r="E40" i="3"/>
  <c r="G40" i="3" s="1"/>
  <c r="E35" i="3"/>
  <c r="G35" i="3" s="1"/>
  <c r="E32" i="3"/>
  <c r="G32" i="3" s="1"/>
  <c r="D40" i="3"/>
  <c r="X39" i="3" s="1"/>
  <c r="AG39" i="3" s="1"/>
  <c r="D42" i="4" s="1"/>
  <c r="D35" i="3"/>
  <c r="X34" i="3" s="1"/>
  <c r="AG34" i="3" s="1"/>
  <c r="D37" i="4" s="1"/>
  <c r="D42" i="3"/>
  <c r="X41" i="3" s="1"/>
  <c r="AG41" i="3" s="1"/>
  <c r="D44" i="4" s="1"/>
  <c r="D39" i="3"/>
  <c r="X38" i="3" s="1"/>
  <c r="AG38" i="3" s="1"/>
  <c r="D41" i="4" s="1"/>
  <c r="E6" i="3"/>
  <c r="G6" i="3" s="1"/>
  <c r="AF6" i="3" s="1"/>
  <c r="E36" i="3"/>
  <c r="G36" i="3" s="1"/>
  <c r="D43" i="3"/>
  <c r="X42" i="3" s="1"/>
  <c r="AG42" i="3" s="1"/>
  <c r="D45" i="4" s="1"/>
  <c r="D38" i="3"/>
  <c r="X37" i="3" s="1"/>
  <c r="AG37" i="3" s="1"/>
  <c r="D40" i="4" s="1"/>
  <c r="D32" i="3"/>
  <c r="X31" i="3" s="1"/>
  <c r="AG31" i="3" s="1"/>
  <c r="D34" i="4" s="1"/>
  <c r="E41" i="3"/>
  <c r="G41" i="3" s="1"/>
  <c r="E33" i="3"/>
  <c r="G33" i="3" s="1"/>
  <c r="D36" i="3"/>
  <c r="X35" i="3" s="1"/>
  <c r="AG35" i="3" s="1"/>
  <c r="D38" i="4" s="1"/>
  <c r="E34" i="3"/>
  <c r="G34" i="3" s="1"/>
  <c r="E5" i="3"/>
  <c r="G5" i="3" s="1"/>
  <c r="AF5" i="3" s="1"/>
  <c r="E44" i="3"/>
  <c r="G44" i="3" s="1"/>
  <c r="D41" i="3"/>
  <c r="X40" i="3" s="1"/>
  <c r="AG40" i="3" s="1"/>
  <c r="D43" i="4" s="1"/>
  <c r="D33" i="3"/>
  <c r="X32" i="3" s="1"/>
  <c r="AG32" i="3" s="1"/>
  <c r="D35" i="4" s="1"/>
  <c r="D44" i="3"/>
  <c r="X43" i="3" s="1"/>
  <c r="AG43" i="3" s="1"/>
  <c r="D46" i="4" s="1"/>
  <c r="E39" i="3"/>
  <c r="G39" i="3" s="1"/>
  <c r="E37" i="3"/>
  <c r="G37" i="3" s="1"/>
  <c r="D34" i="3"/>
  <c r="X33" i="3" s="1"/>
  <c r="AG33" i="3" s="1"/>
  <c r="D36" i="4" s="1"/>
  <c r="I34" i="3" l="1"/>
  <c r="AS35" i="3" s="1"/>
  <c r="AF35" i="3"/>
  <c r="I39" i="3"/>
  <c r="AS40" i="3" s="1"/>
  <c r="AF40" i="3"/>
  <c r="I21" i="3"/>
  <c r="AF22" i="3"/>
  <c r="AE56" i="3"/>
  <c r="AI55" i="3" s="1"/>
  <c r="F58" i="4" s="1"/>
  <c r="AB55" i="3"/>
  <c r="Z55" i="3"/>
  <c r="AA55" i="3" s="1"/>
  <c r="AC55" i="3"/>
  <c r="AE27" i="3"/>
  <c r="AI26" i="3" s="1"/>
  <c r="F29" i="4" s="1"/>
  <c r="AC26" i="3"/>
  <c r="AB26" i="3"/>
  <c r="Z26" i="3"/>
  <c r="AA26" i="3" s="1"/>
  <c r="I33" i="3"/>
  <c r="AS34" i="3" s="1"/>
  <c r="AF34" i="3"/>
  <c r="I32" i="3"/>
  <c r="AS33" i="3" s="1"/>
  <c r="AF33" i="3"/>
  <c r="I40" i="3"/>
  <c r="AS41" i="3" s="1"/>
  <c r="AF41" i="3"/>
  <c r="I31" i="3"/>
  <c r="AS32" i="3" s="1"/>
  <c r="AF32" i="3"/>
  <c r="AB53" i="3"/>
  <c r="Z53" i="3"/>
  <c r="AA53" i="3" s="1"/>
  <c r="AC53" i="3"/>
  <c r="AE54" i="3"/>
  <c r="AI53" i="3" s="1"/>
  <c r="F56" i="4" s="1"/>
  <c r="AE31" i="3"/>
  <c r="AI30" i="3" s="1"/>
  <c r="F33" i="4" s="1"/>
  <c r="AC30" i="3"/>
  <c r="AB30" i="3"/>
  <c r="Z30" i="3"/>
  <c r="AA30" i="3" s="1"/>
  <c r="AC48" i="3"/>
  <c r="AB48" i="3"/>
  <c r="Z48" i="3"/>
  <c r="AA48" i="3" s="1"/>
  <c r="AE49" i="3"/>
  <c r="AI48" i="3" s="1"/>
  <c r="F51" i="4" s="1"/>
  <c r="AE63" i="3"/>
  <c r="AI62" i="3" s="1"/>
  <c r="F65" i="4" s="1"/>
  <c r="AC62" i="3"/>
  <c r="Z62" i="3"/>
  <c r="AA62" i="3" s="1"/>
  <c r="AB62" i="3"/>
  <c r="AC25" i="3"/>
  <c r="AE26" i="3"/>
  <c r="AI25" i="3" s="1"/>
  <c r="F28" i="4" s="1"/>
  <c r="AB25" i="3"/>
  <c r="Z25" i="3"/>
  <c r="AA25" i="3" s="1"/>
  <c r="AB29" i="3"/>
  <c r="Z29" i="3"/>
  <c r="AA29" i="3" s="1"/>
  <c r="AC29" i="3"/>
  <c r="AE30" i="3"/>
  <c r="AI29" i="3" s="1"/>
  <c r="F32" i="4" s="1"/>
  <c r="AE47" i="3"/>
  <c r="AI46" i="3" s="1"/>
  <c r="F49" i="4" s="1"/>
  <c r="AC46" i="3"/>
  <c r="AB46" i="3"/>
  <c r="Z46" i="3"/>
  <c r="AA46" i="3" s="1"/>
  <c r="AB52" i="3"/>
  <c r="Z52" i="3"/>
  <c r="AA52" i="3" s="1"/>
  <c r="AE53" i="3"/>
  <c r="AI52" i="3" s="1"/>
  <c r="F55" i="4" s="1"/>
  <c r="AC52" i="3"/>
  <c r="I37" i="3"/>
  <c r="AS38" i="3" s="1"/>
  <c r="AF38" i="3"/>
  <c r="AE59" i="3"/>
  <c r="AI58" i="3" s="1"/>
  <c r="F61" i="4" s="1"/>
  <c r="AC58" i="3"/>
  <c r="AB58" i="3"/>
  <c r="Z58" i="3"/>
  <c r="AA58" i="3" s="1"/>
  <c r="I36" i="3"/>
  <c r="AS37" i="3" s="1"/>
  <c r="AF37" i="3"/>
  <c r="I42" i="3"/>
  <c r="AS43" i="3" s="1"/>
  <c r="AF43" i="3"/>
  <c r="AB45" i="3"/>
  <c r="Z45" i="3"/>
  <c r="AA45" i="3" s="1"/>
  <c r="AC45" i="3"/>
  <c r="AE46" i="3"/>
  <c r="AI45" i="3" s="1"/>
  <c r="F48" i="4" s="1"/>
  <c r="AB59" i="3"/>
  <c r="Z59" i="3"/>
  <c r="AA59" i="3" s="1"/>
  <c r="AE60" i="3"/>
  <c r="AI59" i="3" s="1"/>
  <c r="F62" i="4" s="1"/>
  <c r="AC59" i="3"/>
  <c r="AE55" i="3"/>
  <c r="AI54" i="3" s="1"/>
  <c r="F57" i="4" s="1"/>
  <c r="Z54" i="3"/>
  <c r="AA54" i="3" s="1"/>
  <c r="AC54" i="3"/>
  <c r="AB54" i="3"/>
  <c r="AB51" i="3"/>
  <c r="Z51" i="3"/>
  <c r="AA51" i="3" s="1"/>
  <c r="AE52" i="3"/>
  <c r="AI51" i="3" s="1"/>
  <c r="F54" i="4" s="1"/>
  <c r="AC51" i="3"/>
  <c r="AB61" i="3"/>
  <c r="Z61" i="3"/>
  <c r="AA61" i="3" s="1"/>
  <c r="AC61" i="3"/>
  <c r="AE62" i="3"/>
  <c r="AI61" i="3" s="1"/>
  <c r="F64" i="4" s="1"/>
  <c r="I43" i="3"/>
  <c r="AS44" i="3" s="1"/>
  <c r="AF44" i="3"/>
  <c r="I35" i="3"/>
  <c r="AS36" i="3" s="1"/>
  <c r="AF36" i="3"/>
  <c r="I8" i="3"/>
  <c r="AF9" i="3"/>
  <c r="AC56" i="3"/>
  <c r="AB56" i="3"/>
  <c r="Z56" i="3"/>
  <c r="AA56" i="3" s="1"/>
  <c r="AE57" i="3"/>
  <c r="AI56" i="3" s="1"/>
  <c r="F59" i="4" s="1"/>
  <c r="AE48" i="3"/>
  <c r="AI47" i="3" s="1"/>
  <c r="F50" i="4" s="1"/>
  <c r="AC47" i="3"/>
  <c r="AB47" i="3"/>
  <c r="Z47" i="3"/>
  <c r="AA47" i="3" s="1"/>
  <c r="I38" i="3"/>
  <c r="AS39" i="3" s="1"/>
  <c r="AF39" i="3"/>
  <c r="AE64" i="3"/>
  <c r="AI63" i="3" s="1"/>
  <c r="F66" i="4" s="1"/>
  <c r="AC63" i="3"/>
  <c r="AB63" i="3"/>
  <c r="Z63" i="3"/>
  <c r="AA63" i="3" s="1"/>
  <c r="I41" i="3"/>
  <c r="AS42" i="3" s="1"/>
  <c r="AF42" i="3"/>
  <c r="AB28" i="3"/>
  <c r="Z28" i="3"/>
  <c r="AA28" i="3" s="1"/>
  <c r="AE29" i="3"/>
  <c r="AI28" i="3" s="1"/>
  <c r="F31" i="4" s="1"/>
  <c r="AC28" i="3"/>
  <c r="AE51" i="3"/>
  <c r="AI50" i="3" s="1"/>
  <c r="F53" i="4" s="1"/>
  <c r="AC50" i="3"/>
  <c r="Z50" i="3"/>
  <c r="AA50" i="3" s="1"/>
  <c r="AB50" i="3"/>
  <c r="AB44" i="3"/>
  <c r="Z44" i="3"/>
  <c r="AA44" i="3" s="1"/>
  <c r="AE45" i="3"/>
  <c r="AI44" i="3" s="1"/>
  <c r="F47" i="4" s="1"/>
  <c r="AC44" i="3"/>
  <c r="AB60" i="3"/>
  <c r="Z60" i="3"/>
  <c r="AA60" i="3" s="1"/>
  <c r="AE61" i="3"/>
  <c r="AI60" i="3" s="1"/>
  <c r="F63" i="4" s="1"/>
  <c r="AC60" i="3"/>
  <c r="AC57" i="3"/>
  <c r="AB57" i="3"/>
  <c r="Z57" i="3"/>
  <c r="AA57" i="3" s="1"/>
  <c r="AE58" i="3"/>
  <c r="AI57" i="3" s="1"/>
  <c r="F60" i="4" s="1"/>
  <c r="AB27" i="3"/>
  <c r="Z27" i="3"/>
  <c r="AA27" i="3" s="1"/>
  <c r="AE28" i="3"/>
  <c r="AI27" i="3" s="1"/>
  <c r="F30" i="4" s="1"/>
  <c r="AC27" i="3"/>
  <c r="I15" i="3"/>
  <c r="AF16" i="3"/>
  <c r="AC49" i="3"/>
  <c r="AB49" i="3"/>
  <c r="Z49" i="3"/>
  <c r="AA49" i="3" s="1"/>
  <c r="AE50" i="3"/>
  <c r="AI49" i="3" s="1"/>
  <c r="F52" i="4" s="1"/>
  <c r="I11" i="3"/>
  <c r="I13" i="3"/>
  <c r="I24" i="3"/>
  <c r="I17" i="3"/>
  <c r="I22" i="3"/>
  <c r="F22" i="3"/>
  <c r="AE22" i="3" s="1"/>
  <c r="F6" i="3"/>
  <c r="AE6" i="3" s="1"/>
  <c r="R63" i="3"/>
  <c r="P63" i="3"/>
  <c r="Y63" i="3"/>
  <c r="U63" i="3"/>
  <c r="S63" i="3"/>
  <c r="T63" i="3" s="1"/>
  <c r="AD63" i="3" s="1"/>
  <c r="AH63" i="3" s="1"/>
  <c r="E66" i="4" s="1"/>
  <c r="L63" i="3"/>
  <c r="Q63" i="3" s="1"/>
  <c r="J63" i="3"/>
  <c r="V63" i="3"/>
  <c r="H63" i="3"/>
  <c r="AT64" i="3" s="1"/>
  <c r="N63" i="3"/>
  <c r="O63" i="3" s="1"/>
  <c r="W63" i="3" s="1"/>
  <c r="K63" i="3"/>
  <c r="M63" i="3"/>
  <c r="Y50" i="3"/>
  <c r="V50" i="3"/>
  <c r="S50" i="3"/>
  <c r="T50" i="3" s="1"/>
  <c r="AD50" i="3" s="1"/>
  <c r="AH50" i="3" s="1"/>
  <c r="E53" i="4" s="1"/>
  <c r="U50" i="3"/>
  <c r="R50" i="3"/>
  <c r="P50" i="3"/>
  <c r="H50" i="3"/>
  <c r="AT51" i="3" s="1"/>
  <c r="K50" i="3"/>
  <c r="M50" i="3"/>
  <c r="L50" i="3"/>
  <c r="Q50" i="3" s="1"/>
  <c r="N50" i="3"/>
  <c r="O50" i="3" s="1"/>
  <c r="W50" i="3" s="1"/>
  <c r="J50" i="3"/>
  <c r="F13" i="3"/>
  <c r="AE13" i="3" s="1"/>
  <c r="Y60" i="3"/>
  <c r="V60" i="3"/>
  <c r="U60" i="3"/>
  <c r="R60" i="3"/>
  <c r="N60" i="3"/>
  <c r="O60" i="3" s="1"/>
  <c r="W60" i="3" s="1"/>
  <c r="M60" i="3"/>
  <c r="H60" i="3"/>
  <c r="AT61" i="3" s="1"/>
  <c r="P60" i="3"/>
  <c r="K60" i="3"/>
  <c r="L60" i="3"/>
  <c r="Q60" i="3" s="1"/>
  <c r="J60" i="3"/>
  <c r="S60" i="3"/>
  <c r="T60" i="3" s="1"/>
  <c r="AD60" i="3" s="1"/>
  <c r="AH60" i="3" s="1"/>
  <c r="E63" i="4" s="1"/>
  <c r="I6" i="3"/>
  <c r="F19" i="3"/>
  <c r="AE19" i="3" s="1"/>
  <c r="Y55" i="3"/>
  <c r="V55" i="3"/>
  <c r="N55" i="3"/>
  <c r="O55" i="3" s="1"/>
  <c r="W55" i="3" s="1"/>
  <c r="J55" i="3"/>
  <c r="R55" i="3"/>
  <c r="P55" i="3"/>
  <c r="L55" i="3"/>
  <c r="Q55" i="3" s="1"/>
  <c r="H55" i="3"/>
  <c r="AT56" i="3" s="1"/>
  <c r="S55" i="3"/>
  <c r="T55" i="3" s="1"/>
  <c r="AD55" i="3" s="1"/>
  <c r="AH55" i="3" s="1"/>
  <c r="E58" i="4" s="1"/>
  <c r="U55" i="3"/>
  <c r="K55" i="3"/>
  <c r="M55" i="3"/>
  <c r="U48" i="3"/>
  <c r="K48" i="3"/>
  <c r="Y48" i="3"/>
  <c r="V48" i="3"/>
  <c r="J48" i="3"/>
  <c r="P48" i="3"/>
  <c r="L48" i="3"/>
  <c r="Q48" i="3" s="1"/>
  <c r="S48" i="3"/>
  <c r="T48" i="3" s="1"/>
  <c r="AD48" i="3" s="1"/>
  <c r="AH48" i="3" s="1"/>
  <c r="E51" i="4" s="1"/>
  <c r="M48" i="3"/>
  <c r="N48" i="3"/>
  <c r="O48" i="3" s="1"/>
  <c r="W48" i="3" s="1"/>
  <c r="H48" i="3"/>
  <c r="AT49" i="3" s="1"/>
  <c r="R48" i="3"/>
  <c r="I14" i="3"/>
  <c r="F16" i="3"/>
  <c r="AE16" i="3" s="1"/>
  <c r="I7" i="3"/>
  <c r="I23" i="3"/>
  <c r="F23" i="3"/>
  <c r="I12" i="3"/>
  <c r="Y56" i="3"/>
  <c r="S56" i="3"/>
  <c r="T56" i="3" s="1"/>
  <c r="AD56" i="3" s="1"/>
  <c r="AH56" i="3" s="1"/>
  <c r="E59" i="4" s="1"/>
  <c r="P56" i="3"/>
  <c r="K56" i="3"/>
  <c r="N56" i="3"/>
  <c r="O56" i="3" s="1"/>
  <c r="W56" i="3" s="1"/>
  <c r="J56" i="3"/>
  <c r="R56" i="3"/>
  <c r="V56" i="3"/>
  <c r="H56" i="3"/>
  <c r="AT57" i="3" s="1"/>
  <c r="M56" i="3"/>
  <c r="U56" i="3"/>
  <c r="L56" i="3"/>
  <c r="Q56" i="3" s="1"/>
  <c r="U59" i="3"/>
  <c r="V59" i="3"/>
  <c r="K59" i="3"/>
  <c r="J59" i="3"/>
  <c r="Y59" i="3"/>
  <c r="M59" i="3"/>
  <c r="L59" i="3"/>
  <c r="Q59" i="3" s="1"/>
  <c r="H59" i="3"/>
  <c r="AT60" i="3" s="1"/>
  <c r="R59" i="3"/>
  <c r="N59" i="3"/>
  <c r="O59" i="3" s="1"/>
  <c r="W59" i="3" s="1"/>
  <c r="P59" i="3"/>
  <c r="S59" i="3"/>
  <c r="T59" i="3" s="1"/>
  <c r="AD59" i="3" s="1"/>
  <c r="AH59" i="3" s="1"/>
  <c r="E62" i="4" s="1"/>
  <c r="R57" i="3"/>
  <c r="P57" i="3"/>
  <c r="M57" i="3"/>
  <c r="V57" i="3"/>
  <c r="K57" i="3"/>
  <c r="H57" i="3"/>
  <c r="AT58" i="3" s="1"/>
  <c r="N57" i="3"/>
  <c r="O57" i="3" s="1"/>
  <c r="W57" i="3" s="1"/>
  <c r="Y57" i="3"/>
  <c r="S57" i="3"/>
  <c r="T57" i="3" s="1"/>
  <c r="AD57" i="3" s="1"/>
  <c r="AH57" i="3" s="1"/>
  <c r="E60" i="4" s="1"/>
  <c r="J57" i="3"/>
  <c r="U57" i="3"/>
  <c r="L57" i="3"/>
  <c r="Q57" i="3" s="1"/>
  <c r="Y26" i="3"/>
  <c r="V26" i="3"/>
  <c r="S26" i="3"/>
  <c r="T26" i="3" s="1"/>
  <c r="AD26" i="3" s="1"/>
  <c r="AH26" i="3" s="1"/>
  <c r="E29" i="4" s="1"/>
  <c r="R26" i="3"/>
  <c r="U26" i="3"/>
  <c r="N26" i="3"/>
  <c r="O26" i="3" s="1"/>
  <c r="W26" i="3" s="1"/>
  <c r="L26" i="3"/>
  <c r="Q26" i="3" s="1"/>
  <c r="P26" i="3"/>
  <c r="M26" i="3"/>
  <c r="K26" i="3"/>
  <c r="J26" i="3"/>
  <c r="H26" i="3"/>
  <c r="AT27" i="3" s="1"/>
  <c r="U27" i="3"/>
  <c r="Y27" i="3"/>
  <c r="V27" i="3"/>
  <c r="P27" i="3"/>
  <c r="R27" i="3"/>
  <c r="S27" i="3"/>
  <c r="T27" i="3" s="1"/>
  <c r="AD27" i="3" s="1"/>
  <c r="AH27" i="3" s="1"/>
  <c r="E30" i="4" s="1"/>
  <c r="N27" i="3"/>
  <c r="O27" i="3" s="1"/>
  <c r="W27" i="3" s="1"/>
  <c r="L27" i="3"/>
  <c r="Q27" i="3" s="1"/>
  <c r="J27" i="3"/>
  <c r="H27" i="3"/>
  <c r="AT28" i="3" s="1"/>
  <c r="K27" i="3"/>
  <c r="M27" i="3"/>
  <c r="F11" i="3"/>
  <c r="AE11" i="3" s="1"/>
  <c r="Y28" i="3"/>
  <c r="V28" i="3"/>
  <c r="S28" i="3"/>
  <c r="T28" i="3" s="1"/>
  <c r="AD28" i="3" s="1"/>
  <c r="AH28" i="3" s="1"/>
  <c r="E31" i="4" s="1"/>
  <c r="R28" i="3"/>
  <c r="N28" i="3"/>
  <c r="O28" i="3" s="1"/>
  <c r="W28" i="3" s="1"/>
  <c r="P28" i="3"/>
  <c r="U28" i="3"/>
  <c r="H28" i="3"/>
  <c r="AT29" i="3" s="1"/>
  <c r="L28" i="3"/>
  <c r="Q28" i="3" s="1"/>
  <c r="M28" i="3"/>
  <c r="J28" i="3"/>
  <c r="K28" i="3"/>
  <c r="F10" i="3"/>
  <c r="AE10" i="3" s="1"/>
  <c r="I18" i="3"/>
  <c r="I5" i="3"/>
  <c r="AS6" i="3" s="1"/>
  <c r="F12" i="3"/>
  <c r="AE12" i="3" s="1"/>
  <c r="I19" i="3"/>
  <c r="U53" i="3"/>
  <c r="Y53" i="3"/>
  <c r="V53" i="3"/>
  <c r="S53" i="3"/>
  <c r="T53" i="3" s="1"/>
  <c r="AD53" i="3" s="1"/>
  <c r="AH53" i="3" s="1"/>
  <c r="E56" i="4" s="1"/>
  <c r="L53" i="3"/>
  <c r="Q53" i="3" s="1"/>
  <c r="N53" i="3"/>
  <c r="O53" i="3" s="1"/>
  <c r="W53" i="3" s="1"/>
  <c r="R53" i="3"/>
  <c r="P53" i="3"/>
  <c r="H53" i="3"/>
  <c r="AT54" i="3" s="1"/>
  <c r="J53" i="3"/>
  <c r="M53" i="3"/>
  <c r="K53" i="3"/>
  <c r="R25" i="3"/>
  <c r="P25" i="3"/>
  <c r="U25" i="3"/>
  <c r="M25" i="3"/>
  <c r="N25" i="3"/>
  <c r="O25" i="3" s="1"/>
  <c r="W25" i="3" s="1"/>
  <c r="S25" i="3"/>
  <c r="T25" i="3" s="1"/>
  <c r="AD25" i="3" s="1"/>
  <c r="AH25" i="3" s="1"/>
  <c r="E28" i="4" s="1"/>
  <c r="H25" i="3"/>
  <c r="AT26" i="3" s="1"/>
  <c r="Y25" i="3"/>
  <c r="V25" i="3"/>
  <c r="K25" i="3"/>
  <c r="J25" i="3"/>
  <c r="L25" i="3"/>
  <c r="Q25" i="3" s="1"/>
  <c r="F14" i="3"/>
  <c r="AE14" i="3" s="1"/>
  <c r="I16" i="3"/>
  <c r="R62" i="3"/>
  <c r="P62" i="3"/>
  <c r="U62" i="3"/>
  <c r="Y62" i="3"/>
  <c r="S62" i="3"/>
  <c r="T62" i="3" s="1"/>
  <c r="AD62" i="3" s="1"/>
  <c r="AH62" i="3" s="1"/>
  <c r="E65" i="4" s="1"/>
  <c r="N62" i="3"/>
  <c r="O62" i="3" s="1"/>
  <c r="W62" i="3" s="1"/>
  <c r="V62" i="3"/>
  <c r="M62" i="3"/>
  <c r="L62" i="3"/>
  <c r="Q62" i="3" s="1"/>
  <c r="K62" i="3"/>
  <c r="J62" i="3"/>
  <c r="H62" i="3"/>
  <c r="AT63" i="3" s="1"/>
  <c r="F18" i="3"/>
  <c r="AE18" i="3" s="1"/>
  <c r="I9" i="3"/>
  <c r="F7" i="3"/>
  <c r="AE7" i="3" s="1"/>
  <c r="F25" i="3"/>
  <c r="I10" i="3"/>
  <c r="Y58" i="3"/>
  <c r="V58" i="3"/>
  <c r="S58" i="3"/>
  <c r="T58" i="3" s="1"/>
  <c r="AD58" i="3" s="1"/>
  <c r="AH58" i="3" s="1"/>
  <c r="E61" i="4" s="1"/>
  <c r="U58" i="3"/>
  <c r="K58" i="3"/>
  <c r="M58" i="3"/>
  <c r="L58" i="3"/>
  <c r="Q58" i="3" s="1"/>
  <c r="R58" i="3"/>
  <c r="N58" i="3"/>
  <c r="O58" i="3" s="1"/>
  <c r="W58" i="3" s="1"/>
  <c r="P58" i="3"/>
  <c r="J58" i="3"/>
  <c r="H58" i="3"/>
  <c r="AT59" i="3" s="1"/>
  <c r="Y52" i="3"/>
  <c r="V52" i="3"/>
  <c r="N52" i="3"/>
  <c r="O52" i="3" s="1"/>
  <c r="W52" i="3" s="1"/>
  <c r="R52" i="3"/>
  <c r="P52" i="3"/>
  <c r="S52" i="3"/>
  <c r="T52" i="3" s="1"/>
  <c r="AD52" i="3" s="1"/>
  <c r="AH52" i="3" s="1"/>
  <c r="E55" i="4" s="1"/>
  <c r="M52" i="3"/>
  <c r="U52" i="3"/>
  <c r="K52" i="3"/>
  <c r="L52" i="3"/>
  <c r="Q52" i="3" s="1"/>
  <c r="H52" i="3"/>
  <c r="AT53" i="3" s="1"/>
  <c r="J52" i="3"/>
  <c r="R30" i="3"/>
  <c r="P30" i="3"/>
  <c r="U30" i="3"/>
  <c r="Y30" i="3"/>
  <c r="V30" i="3"/>
  <c r="S30" i="3"/>
  <c r="T30" i="3" s="1"/>
  <c r="AD30" i="3" s="1"/>
  <c r="AH30" i="3" s="1"/>
  <c r="E33" i="4" s="1"/>
  <c r="K30" i="3"/>
  <c r="N30" i="3"/>
  <c r="O30" i="3" s="1"/>
  <c r="W30" i="3" s="1"/>
  <c r="J30" i="3"/>
  <c r="L30" i="3"/>
  <c r="Q30" i="3" s="1"/>
  <c r="H30" i="3"/>
  <c r="AT31" i="3" s="1"/>
  <c r="M30" i="3"/>
  <c r="R54" i="3"/>
  <c r="P54" i="3"/>
  <c r="U54" i="3"/>
  <c r="Y54" i="3"/>
  <c r="N54" i="3"/>
  <c r="O54" i="3" s="1"/>
  <c r="W54" i="3" s="1"/>
  <c r="L54" i="3"/>
  <c r="Q54" i="3" s="1"/>
  <c r="S54" i="3"/>
  <c r="T54" i="3" s="1"/>
  <c r="AD54" i="3" s="1"/>
  <c r="AH54" i="3" s="1"/>
  <c r="E57" i="4" s="1"/>
  <c r="H54" i="3"/>
  <c r="AT55" i="3" s="1"/>
  <c r="V54" i="3"/>
  <c r="J54" i="3"/>
  <c r="M54" i="3"/>
  <c r="K54" i="3"/>
  <c r="U61" i="3"/>
  <c r="Y61" i="3"/>
  <c r="V61" i="3"/>
  <c r="S61" i="3"/>
  <c r="T61" i="3" s="1"/>
  <c r="AD61" i="3" s="1"/>
  <c r="AH61" i="3" s="1"/>
  <c r="E64" i="4" s="1"/>
  <c r="L61" i="3"/>
  <c r="Q61" i="3" s="1"/>
  <c r="H61" i="3"/>
  <c r="AT62" i="3" s="1"/>
  <c r="M61" i="3"/>
  <c r="K61" i="3"/>
  <c r="R61" i="3"/>
  <c r="N61" i="3"/>
  <c r="O61" i="3" s="1"/>
  <c r="W61" i="3" s="1"/>
  <c r="J61" i="3"/>
  <c r="P61" i="3"/>
  <c r="F8" i="3"/>
  <c r="F24" i="3"/>
  <c r="AE24" i="3" s="1"/>
  <c r="F15" i="3"/>
  <c r="AE15" i="3" s="1"/>
  <c r="Y47" i="3"/>
  <c r="U47" i="3"/>
  <c r="V47" i="3"/>
  <c r="K47" i="3"/>
  <c r="J47" i="3"/>
  <c r="N47" i="3"/>
  <c r="O47" i="3" s="1"/>
  <c r="W47" i="3" s="1"/>
  <c r="L47" i="3"/>
  <c r="Q47" i="3" s="1"/>
  <c r="H47" i="3"/>
  <c r="AT48" i="3" s="1"/>
  <c r="S47" i="3"/>
  <c r="T47" i="3" s="1"/>
  <c r="AD47" i="3" s="1"/>
  <c r="AH47" i="3" s="1"/>
  <c r="E50" i="4" s="1"/>
  <c r="M47" i="3"/>
  <c r="R47" i="3"/>
  <c r="P47" i="3"/>
  <c r="F17" i="3"/>
  <c r="AE17" i="3" s="1"/>
  <c r="R49" i="3"/>
  <c r="P49" i="3"/>
  <c r="M49" i="3"/>
  <c r="S49" i="3"/>
  <c r="T49" i="3" s="1"/>
  <c r="AD49" i="3" s="1"/>
  <c r="AH49" i="3" s="1"/>
  <c r="E52" i="4" s="1"/>
  <c r="H49" i="3"/>
  <c r="AT50" i="3" s="1"/>
  <c r="U49" i="3"/>
  <c r="K49" i="3"/>
  <c r="Y49" i="3"/>
  <c r="L49" i="3"/>
  <c r="Q49" i="3" s="1"/>
  <c r="J49" i="3"/>
  <c r="V49" i="3"/>
  <c r="N49" i="3"/>
  <c r="O49" i="3" s="1"/>
  <c r="W49" i="3" s="1"/>
  <c r="Y44" i="3"/>
  <c r="V44" i="3"/>
  <c r="N44" i="3"/>
  <c r="O44" i="3" s="1"/>
  <c r="W44" i="3" s="1"/>
  <c r="U44" i="3"/>
  <c r="L44" i="3"/>
  <c r="Q44" i="3" s="1"/>
  <c r="S44" i="3"/>
  <c r="T44" i="3" s="1"/>
  <c r="AD44" i="3" s="1"/>
  <c r="AH44" i="3" s="1"/>
  <c r="E47" i="4" s="1"/>
  <c r="J44" i="3"/>
  <c r="R44" i="3"/>
  <c r="H44" i="3"/>
  <c r="AT45" i="3" s="1"/>
  <c r="M44" i="3"/>
  <c r="K44" i="3"/>
  <c r="P44" i="3"/>
  <c r="U51" i="3"/>
  <c r="R51" i="3"/>
  <c r="P51" i="3"/>
  <c r="S51" i="3"/>
  <c r="T51" i="3" s="1"/>
  <c r="AD51" i="3" s="1"/>
  <c r="AH51" i="3" s="1"/>
  <c r="E54" i="4" s="1"/>
  <c r="M51" i="3"/>
  <c r="V51" i="3"/>
  <c r="H51" i="3"/>
  <c r="AT52" i="3" s="1"/>
  <c r="Y51" i="3"/>
  <c r="K51" i="3"/>
  <c r="L51" i="3"/>
  <c r="Q51" i="3" s="1"/>
  <c r="N51" i="3"/>
  <c r="O51" i="3" s="1"/>
  <c r="W51" i="3" s="1"/>
  <c r="J51" i="3"/>
  <c r="F21" i="3"/>
  <c r="AE21" i="3" s="1"/>
  <c r="R46" i="3"/>
  <c r="P46" i="3"/>
  <c r="U46" i="3"/>
  <c r="S46" i="3"/>
  <c r="T46" i="3" s="1"/>
  <c r="AD46" i="3" s="1"/>
  <c r="AH46" i="3" s="1"/>
  <c r="E49" i="4" s="1"/>
  <c r="Y46" i="3"/>
  <c r="V46" i="3"/>
  <c r="N46" i="3"/>
  <c r="O46" i="3" s="1"/>
  <c r="W46" i="3" s="1"/>
  <c r="L46" i="3"/>
  <c r="Q46" i="3" s="1"/>
  <c r="M46" i="3"/>
  <c r="K46" i="3"/>
  <c r="H46" i="3"/>
  <c r="AT47" i="3" s="1"/>
  <c r="J46" i="3"/>
  <c r="F20" i="3"/>
  <c r="AE20" i="3" s="1"/>
  <c r="F9" i="3"/>
  <c r="AE9" i="3" s="1"/>
  <c r="I20" i="3"/>
  <c r="U45" i="3"/>
  <c r="Y45" i="3"/>
  <c r="V45" i="3"/>
  <c r="S45" i="3"/>
  <c r="T45" i="3" s="1"/>
  <c r="AD45" i="3" s="1"/>
  <c r="AH45" i="3" s="1"/>
  <c r="E48" i="4" s="1"/>
  <c r="P45" i="3"/>
  <c r="L45" i="3"/>
  <c r="Q45" i="3" s="1"/>
  <c r="N45" i="3"/>
  <c r="O45" i="3" s="1"/>
  <c r="W45" i="3" s="1"/>
  <c r="H45" i="3"/>
  <c r="AT46" i="3" s="1"/>
  <c r="K45" i="3"/>
  <c r="R45" i="3"/>
  <c r="J45" i="3"/>
  <c r="M45" i="3"/>
  <c r="U29" i="3"/>
  <c r="Y29" i="3"/>
  <c r="V29" i="3"/>
  <c r="S29" i="3"/>
  <c r="T29" i="3" s="1"/>
  <c r="AD29" i="3" s="1"/>
  <c r="AH29" i="3" s="1"/>
  <c r="E32" i="4" s="1"/>
  <c r="L29" i="3"/>
  <c r="Q29" i="3" s="1"/>
  <c r="R29" i="3"/>
  <c r="P29" i="3"/>
  <c r="K29" i="3"/>
  <c r="H29" i="3"/>
  <c r="AT30" i="3" s="1"/>
  <c r="N29" i="3"/>
  <c r="O29" i="3" s="1"/>
  <c r="W29" i="3" s="1"/>
  <c r="M29" i="3"/>
  <c r="J29" i="3"/>
  <c r="F44" i="3"/>
  <c r="F42" i="3"/>
  <c r="F37" i="3"/>
  <c r="F35" i="3"/>
  <c r="F32" i="3"/>
  <c r="F38" i="3"/>
  <c r="F34" i="3"/>
  <c r="F33" i="3"/>
  <c r="F36" i="3"/>
  <c r="F40" i="3"/>
  <c r="F43" i="3"/>
  <c r="F41" i="3"/>
  <c r="F39" i="3"/>
  <c r="AS7" i="3" l="1"/>
  <c r="AS8" i="3" s="1"/>
  <c r="AS9" i="3" s="1"/>
  <c r="AS10" i="3" s="1"/>
  <c r="AS11" i="3" s="1"/>
  <c r="AS12" i="3" s="1"/>
  <c r="AS13" i="3" s="1"/>
  <c r="AS14" i="3" s="1"/>
  <c r="AS15" i="3" s="1"/>
  <c r="AS16" i="3" s="1"/>
  <c r="AS17" i="3" s="1"/>
  <c r="AS18" i="3" s="1"/>
  <c r="AS19" i="3" s="1"/>
  <c r="AS20" i="3" s="1"/>
  <c r="AS21" i="3" s="1"/>
  <c r="AS22" i="3" s="1"/>
  <c r="AS23" i="3" s="1"/>
  <c r="AS24" i="3" s="1"/>
  <c r="AS25" i="3" s="1"/>
  <c r="H5" i="3"/>
  <c r="AB36" i="3"/>
  <c r="Z36" i="3"/>
  <c r="AA36" i="3" s="1"/>
  <c r="AE37" i="3"/>
  <c r="AI36" i="3" s="1"/>
  <c r="F39" i="4" s="1"/>
  <c r="AC36" i="3"/>
  <c r="AE40" i="3"/>
  <c r="AI39" i="3" s="1"/>
  <c r="F42" i="4" s="1"/>
  <c r="AB39" i="3"/>
  <c r="Z39" i="3"/>
  <c r="AA39" i="3" s="1"/>
  <c r="AC39" i="3"/>
  <c r="AC33" i="3"/>
  <c r="AE34" i="3"/>
  <c r="AI33" i="3" s="1"/>
  <c r="F36" i="4" s="1"/>
  <c r="Z33" i="3"/>
  <c r="AA33" i="3" s="1"/>
  <c r="AB33" i="3"/>
  <c r="AE25" i="3"/>
  <c r="AC41" i="3"/>
  <c r="AE42" i="3"/>
  <c r="AI41" i="3" s="1"/>
  <c r="F44" i="4" s="1"/>
  <c r="AB41" i="3"/>
  <c r="Z41" i="3"/>
  <c r="AA41" i="3" s="1"/>
  <c r="AB35" i="3"/>
  <c r="Z35" i="3"/>
  <c r="AA35" i="3" s="1"/>
  <c r="AE36" i="3"/>
  <c r="AI35" i="3" s="1"/>
  <c r="F38" i="4" s="1"/>
  <c r="AC35" i="3"/>
  <c r="AB43" i="3"/>
  <c r="Z43" i="3"/>
  <c r="AA43" i="3" s="1"/>
  <c r="AE44" i="3"/>
  <c r="AI43" i="3" s="1"/>
  <c r="F46" i="4" s="1"/>
  <c r="AC43" i="3"/>
  <c r="AC32" i="3"/>
  <c r="AB32" i="3"/>
  <c r="Z32" i="3"/>
  <c r="AA32" i="3" s="1"/>
  <c r="AE33" i="3"/>
  <c r="AI32" i="3" s="1"/>
  <c r="F35" i="4" s="1"/>
  <c r="AE39" i="3"/>
  <c r="AI38" i="3" s="1"/>
  <c r="F41" i="4" s="1"/>
  <c r="AB38" i="3"/>
  <c r="Z38" i="3"/>
  <c r="AA38" i="3" s="1"/>
  <c r="AC38" i="3"/>
  <c r="AB37" i="3"/>
  <c r="Z37" i="3"/>
  <c r="AA37" i="3" s="1"/>
  <c r="AC37" i="3"/>
  <c r="AE38" i="3"/>
  <c r="AI37" i="3" s="1"/>
  <c r="F40" i="4" s="1"/>
  <c r="AE23" i="3"/>
  <c r="AC40" i="3"/>
  <c r="AB40" i="3"/>
  <c r="Z40" i="3"/>
  <c r="AA40" i="3" s="1"/>
  <c r="AE41" i="3"/>
  <c r="AI40" i="3" s="1"/>
  <c r="F43" i="4" s="1"/>
  <c r="AE32" i="3"/>
  <c r="AI31" i="3" s="1"/>
  <c r="F34" i="4" s="1"/>
  <c r="AC31" i="3"/>
  <c r="AB31" i="3"/>
  <c r="Z31" i="3"/>
  <c r="AA31" i="3" s="1"/>
  <c r="AE8" i="3"/>
  <c r="AE43" i="3"/>
  <c r="AI42" i="3" s="1"/>
  <c r="F45" i="4" s="1"/>
  <c r="AC42" i="3"/>
  <c r="AB42" i="3"/>
  <c r="Z42" i="3"/>
  <c r="AA42" i="3" s="1"/>
  <c r="AE35" i="3"/>
  <c r="AI34" i="3" s="1"/>
  <c r="F37" i="4" s="1"/>
  <c r="AC34" i="3"/>
  <c r="Z34" i="3"/>
  <c r="AA34" i="3" s="1"/>
  <c r="AB34" i="3"/>
  <c r="H6" i="3"/>
  <c r="J6" i="3"/>
  <c r="N6" i="3" s="1"/>
  <c r="O6" i="3" s="1"/>
  <c r="W6" i="3" s="1"/>
  <c r="X6" i="3" s="1"/>
  <c r="L6" i="3"/>
  <c r="Q6" i="3" s="1"/>
  <c r="K6" i="3"/>
  <c r="P6" i="3" s="1"/>
  <c r="H14" i="3"/>
  <c r="L14" i="3"/>
  <c r="Q14" i="3" s="1"/>
  <c r="K14" i="3"/>
  <c r="P14" i="3" s="1"/>
  <c r="J14" i="3"/>
  <c r="N14" i="3" s="1"/>
  <c r="O14" i="3" s="1"/>
  <c r="W14" i="3" s="1"/>
  <c r="X14" i="3" s="1"/>
  <c r="K20" i="3"/>
  <c r="P20" i="3" s="1"/>
  <c r="H20" i="3"/>
  <c r="J20" i="3"/>
  <c r="N20" i="3" s="1"/>
  <c r="O20" i="3" s="1"/>
  <c r="W20" i="3" s="1"/>
  <c r="X20" i="3" s="1"/>
  <c r="L20" i="3"/>
  <c r="Q20" i="3" s="1"/>
  <c r="K16" i="3"/>
  <c r="P16" i="3" s="1"/>
  <c r="J16" i="3"/>
  <c r="N16" i="3" s="1"/>
  <c r="O16" i="3" s="1"/>
  <c r="W16" i="3" s="1"/>
  <c r="X16" i="3" s="1"/>
  <c r="H16" i="3"/>
  <c r="M16" i="3" s="1"/>
  <c r="R16" i="3" s="1"/>
  <c r="L16" i="3"/>
  <c r="Q16" i="3" s="1"/>
  <c r="Y42" i="3"/>
  <c r="V42" i="3"/>
  <c r="S42" i="3"/>
  <c r="T42" i="3" s="1"/>
  <c r="AD42" i="3" s="1"/>
  <c r="AH42" i="3" s="1"/>
  <c r="E45" i="4" s="1"/>
  <c r="U42" i="3"/>
  <c r="R42" i="3"/>
  <c r="P42" i="3"/>
  <c r="M42" i="3"/>
  <c r="H42" i="3"/>
  <c r="AT43" i="3" s="1"/>
  <c r="N42" i="3"/>
  <c r="O42" i="3" s="1"/>
  <c r="W42" i="3" s="1"/>
  <c r="K42" i="3"/>
  <c r="L42" i="3"/>
  <c r="Q42" i="3" s="1"/>
  <c r="J42" i="3"/>
  <c r="Y34" i="3"/>
  <c r="V34" i="3"/>
  <c r="S34" i="3"/>
  <c r="T34" i="3" s="1"/>
  <c r="AD34" i="3" s="1"/>
  <c r="AH34" i="3" s="1"/>
  <c r="E37" i="4" s="1"/>
  <c r="U34" i="3"/>
  <c r="N34" i="3"/>
  <c r="O34" i="3" s="1"/>
  <c r="W34" i="3" s="1"/>
  <c r="M34" i="3"/>
  <c r="K34" i="3"/>
  <c r="R34" i="3"/>
  <c r="L34" i="3"/>
  <c r="Q34" i="3" s="1"/>
  <c r="J34" i="3"/>
  <c r="P34" i="3"/>
  <c r="H34" i="3"/>
  <c r="AT35" i="3" s="1"/>
  <c r="J23" i="3"/>
  <c r="N23" i="3" s="1"/>
  <c r="O23" i="3" s="1"/>
  <c r="W23" i="3" s="1"/>
  <c r="X23" i="3" s="1"/>
  <c r="L23" i="3"/>
  <c r="Q23" i="3" s="1"/>
  <c r="K23" i="3"/>
  <c r="P23" i="3" s="1"/>
  <c r="H23" i="3"/>
  <c r="M23" i="3" s="1"/>
  <c r="R23" i="3" s="1"/>
  <c r="U39" i="3"/>
  <c r="R39" i="3"/>
  <c r="Y39" i="3"/>
  <c r="P39" i="3"/>
  <c r="S39" i="3"/>
  <c r="T39" i="3" s="1"/>
  <c r="AD39" i="3" s="1"/>
  <c r="AH39" i="3" s="1"/>
  <c r="E42" i="4" s="1"/>
  <c r="J39" i="3"/>
  <c r="K39" i="3"/>
  <c r="N39" i="3"/>
  <c r="O39" i="3" s="1"/>
  <c r="W39" i="3" s="1"/>
  <c r="M39" i="3"/>
  <c r="V39" i="3"/>
  <c r="L39" i="3"/>
  <c r="Q39" i="3" s="1"/>
  <c r="H39" i="3"/>
  <c r="AT40" i="3" s="1"/>
  <c r="R41" i="3"/>
  <c r="P41" i="3"/>
  <c r="Y41" i="3"/>
  <c r="V41" i="3"/>
  <c r="M41" i="3"/>
  <c r="H41" i="3"/>
  <c r="AT42" i="3" s="1"/>
  <c r="S41" i="3"/>
  <c r="T41" i="3" s="1"/>
  <c r="AD41" i="3" s="1"/>
  <c r="AH41" i="3" s="1"/>
  <c r="E44" i="4" s="1"/>
  <c r="N41" i="3"/>
  <c r="O41" i="3" s="1"/>
  <c r="W41" i="3" s="1"/>
  <c r="U41" i="3"/>
  <c r="K41" i="3"/>
  <c r="L41" i="3"/>
  <c r="Q41" i="3" s="1"/>
  <c r="J41" i="3"/>
  <c r="J7" i="3"/>
  <c r="N7" i="3" s="1"/>
  <c r="O7" i="3" s="1"/>
  <c r="W7" i="3" s="1"/>
  <c r="X7" i="3" s="1"/>
  <c r="AG7" i="3" s="1"/>
  <c r="D10" i="4" s="1"/>
  <c r="H7" i="3"/>
  <c r="L7" i="3"/>
  <c r="Q7" i="3" s="1"/>
  <c r="K7" i="3"/>
  <c r="P7" i="3" s="1"/>
  <c r="K5" i="3"/>
  <c r="P5" i="3" s="1"/>
  <c r="U5" i="3" s="1"/>
  <c r="L5" i="3"/>
  <c r="Q5" i="3" s="1"/>
  <c r="J5" i="3"/>
  <c r="N5" i="3" s="1"/>
  <c r="O5" i="3" s="1"/>
  <c r="W5" i="3" s="1"/>
  <c r="X5" i="3" s="1"/>
  <c r="R33" i="3"/>
  <c r="P33" i="3"/>
  <c r="M33" i="3"/>
  <c r="H33" i="3"/>
  <c r="AT34" i="3" s="1"/>
  <c r="V33" i="3"/>
  <c r="L33" i="3"/>
  <c r="Q33" i="3" s="1"/>
  <c r="J33" i="3"/>
  <c r="U33" i="3"/>
  <c r="S33" i="3"/>
  <c r="T33" i="3" s="1"/>
  <c r="AD33" i="3" s="1"/>
  <c r="AH33" i="3" s="1"/>
  <c r="E36" i="4" s="1"/>
  <c r="K33" i="3"/>
  <c r="Y33" i="3"/>
  <c r="N33" i="3"/>
  <c r="O33" i="3" s="1"/>
  <c r="W33" i="3" s="1"/>
  <c r="R38" i="3"/>
  <c r="P38" i="3"/>
  <c r="U38" i="3"/>
  <c r="S38" i="3"/>
  <c r="T38" i="3" s="1"/>
  <c r="AD38" i="3" s="1"/>
  <c r="AH38" i="3" s="1"/>
  <c r="E41" i="4" s="1"/>
  <c r="K38" i="3"/>
  <c r="N38" i="3"/>
  <c r="O38" i="3" s="1"/>
  <c r="W38" i="3" s="1"/>
  <c r="Y38" i="3"/>
  <c r="V38" i="3"/>
  <c r="L38" i="3"/>
  <c r="Q38" i="3" s="1"/>
  <c r="M38" i="3"/>
  <c r="H38" i="3"/>
  <c r="AT39" i="3" s="1"/>
  <c r="J38" i="3"/>
  <c r="K8" i="3"/>
  <c r="P8" i="3" s="1"/>
  <c r="L8" i="3"/>
  <c r="Q8" i="3" s="1"/>
  <c r="J8" i="3"/>
  <c r="N8" i="3" s="1"/>
  <c r="O8" i="3" s="1"/>
  <c r="W8" i="3" s="1"/>
  <c r="X8" i="3" s="1"/>
  <c r="H8" i="3"/>
  <c r="M8" i="3" s="1"/>
  <c r="K12" i="3"/>
  <c r="P12" i="3" s="1"/>
  <c r="J12" i="3"/>
  <c r="N12" i="3" s="1"/>
  <c r="L12" i="3"/>
  <c r="Q12" i="3" s="1"/>
  <c r="H12" i="3"/>
  <c r="Y31" i="3"/>
  <c r="V31" i="3"/>
  <c r="J31" i="3"/>
  <c r="U31" i="3"/>
  <c r="R31" i="3"/>
  <c r="P31" i="3"/>
  <c r="H31" i="3"/>
  <c r="AT32" i="3" s="1"/>
  <c r="S31" i="3"/>
  <c r="T31" i="3" s="1"/>
  <c r="AD31" i="3" s="1"/>
  <c r="AH31" i="3" s="1"/>
  <c r="E34" i="4" s="1"/>
  <c r="L31" i="3"/>
  <c r="Q31" i="3" s="1"/>
  <c r="K31" i="3"/>
  <c r="M31" i="3"/>
  <c r="N31" i="3"/>
  <c r="O31" i="3" s="1"/>
  <c r="W31" i="3" s="1"/>
  <c r="J15" i="3"/>
  <c r="N15" i="3" s="1"/>
  <c r="O15" i="3" s="1"/>
  <c r="W15" i="3" s="1"/>
  <c r="X15" i="3" s="1"/>
  <c r="L15" i="3"/>
  <c r="Q15" i="3" s="1"/>
  <c r="K15" i="3"/>
  <c r="P15" i="3" s="1"/>
  <c r="H15" i="3"/>
  <c r="Y36" i="3"/>
  <c r="V36" i="3"/>
  <c r="U36" i="3"/>
  <c r="N36" i="3"/>
  <c r="O36" i="3" s="1"/>
  <c r="W36" i="3" s="1"/>
  <c r="L36" i="3"/>
  <c r="Q36" i="3" s="1"/>
  <c r="M36" i="3"/>
  <c r="H36" i="3"/>
  <c r="AT37" i="3" s="1"/>
  <c r="K36" i="3"/>
  <c r="R36" i="3"/>
  <c r="J36" i="3"/>
  <c r="P36" i="3"/>
  <c r="S36" i="3"/>
  <c r="T36" i="3" s="1"/>
  <c r="AD36" i="3" s="1"/>
  <c r="AH36" i="3" s="1"/>
  <c r="E39" i="4" s="1"/>
  <c r="L13" i="3"/>
  <c r="Q13" i="3" s="1"/>
  <c r="H13" i="3"/>
  <c r="K13" i="3"/>
  <c r="P13" i="3" s="1"/>
  <c r="J13" i="3"/>
  <c r="N13" i="3" s="1"/>
  <c r="O13" i="3" s="1"/>
  <c r="W13" i="3" s="1"/>
  <c r="X13" i="3" s="1"/>
  <c r="U35" i="3"/>
  <c r="S35" i="3"/>
  <c r="T35" i="3" s="1"/>
  <c r="AD35" i="3" s="1"/>
  <c r="AH35" i="3" s="1"/>
  <c r="E38" i="4" s="1"/>
  <c r="P35" i="3"/>
  <c r="N35" i="3"/>
  <c r="O35" i="3" s="1"/>
  <c r="W35" i="3" s="1"/>
  <c r="L35" i="3"/>
  <c r="Q35" i="3" s="1"/>
  <c r="Y35" i="3"/>
  <c r="M35" i="3"/>
  <c r="K35" i="3"/>
  <c r="R35" i="3"/>
  <c r="J35" i="3"/>
  <c r="V35" i="3"/>
  <c r="H35" i="3"/>
  <c r="AT36" i="3" s="1"/>
  <c r="U43" i="3"/>
  <c r="Y43" i="3"/>
  <c r="V43" i="3"/>
  <c r="N43" i="3"/>
  <c r="O43" i="3" s="1"/>
  <c r="W43" i="3" s="1"/>
  <c r="R43" i="3"/>
  <c r="P43" i="3"/>
  <c r="M43" i="3"/>
  <c r="J43" i="3"/>
  <c r="S43" i="3"/>
  <c r="T43" i="3" s="1"/>
  <c r="AD43" i="3" s="1"/>
  <c r="AH43" i="3" s="1"/>
  <c r="E46" i="4" s="1"/>
  <c r="K43" i="3"/>
  <c r="L43" i="3"/>
  <c r="Q43" i="3" s="1"/>
  <c r="H43" i="3"/>
  <c r="AT44" i="3" s="1"/>
  <c r="K24" i="3"/>
  <c r="P24" i="3" s="1"/>
  <c r="J24" i="3"/>
  <c r="N24" i="3" s="1"/>
  <c r="O24" i="3" s="1"/>
  <c r="W24" i="3" s="1"/>
  <c r="X24" i="3" s="1"/>
  <c r="AG24" i="3" s="1"/>
  <c r="D27" i="4" s="1"/>
  <c r="L24" i="3"/>
  <c r="Q24" i="3" s="1"/>
  <c r="H24" i="3"/>
  <c r="Z24" i="3" s="1"/>
  <c r="AA24" i="3" s="1"/>
  <c r="H9" i="3"/>
  <c r="L9" i="3"/>
  <c r="Q9" i="3" s="1"/>
  <c r="K9" i="3"/>
  <c r="P9" i="3" s="1"/>
  <c r="J9" i="3"/>
  <c r="N9" i="3" s="1"/>
  <c r="O9" i="3" s="1"/>
  <c r="W9" i="3" s="1"/>
  <c r="X9" i="3" s="1"/>
  <c r="U37" i="3"/>
  <c r="Y37" i="3"/>
  <c r="V37" i="3"/>
  <c r="S37" i="3"/>
  <c r="T37" i="3" s="1"/>
  <c r="AD37" i="3" s="1"/>
  <c r="AH37" i="3" s="1"/>
  <c r="E40" i="4" s="1"/>
  <c r="L37" i="3"/>
  <c r="Q37" i="3" s="1"/>
  <c r="R37" i="3"/>
  <c r="N37" i="3"/>
  <c r="O37" i="3" s="1"/>
  <c r="W37" i="3" s="1"/>
  <c r="H37" i="3"/>
  <c r="AT38" i="3" s="1"/>
  <c r="J37" i="3"/>
  <c r="M37" i="3"/>
  <c r="K37" i="3"/>
  <c r="P37" i="3"/>
  <c r="K11" i="3"/>
  <c r="P11" i="3" s="1"/>
  <c r="J11" i="3"/>
  <c r="N11" i="3" s="1"/>
  <c r="O11" i="3" s="1"/>
  <c r="W11" i="3" s="1"/>
  <c r="X11" i="3" s="1"/>
  <c r="H11" i="3"/>
  <c r="L11" i="3"/>
  <c r="Q11" i="3" s="1"/>
  <c r="L18" i="3"/>
  <c r="Q18" i="3" s="1"/>
  <c r="H18" i="3"/>
  <c r="M18" i="3" s="1"/>
  <c r="J18" i="3"/>
  <c r="N18" i="3" s="1"/>
  <c r="O18" i="3" s="1"/>
  <c r="W18" i="3" s="1"/>
  <c r="X18" i="3" s="1"/>
  <c r="K18" i="3"/>
  <c r="P18" i="3" s="1"/>
  <c r="Y40" i="3"/>
  <c r="K40" i="3"/>
  <c r="R40" i="3"/>
  <c r="P40" i="3"/>
  <c r="S40" i="3"/>
  <c r="T40" i="3" s="1"/>
  <c r="AD40" i="3" s="1"/>
  <c r="AH40" i="3" s="1"/>
  <c r="E43" i="4" s="1"/>
  <c r="J40" i="3"/>
  <c r="H40" i="3"/>
  <c r="AT41" i="3" s="1"/>
  <c r="L40" i="3"/>
  <c r="Q40" i="3" s="1"/>
  <c r="N40" i="3"/>
  <c r="O40" i="3" s="1"/>
  <c r="W40" i="3" s="1"/>
  <c r="U40" i="3"/>
  <c r="M40" i="3"/>
  <c r="V40" i="3"/>
  <c r="L17" i="3"/>
  <c r="Q17" i="3" s="1"/>
  <c r="H17" i="3"/>
  <c r="J17" i="3"/>
  <c r="N17" i="3" s="1"/>
  <c r="K17" i="3"/>
  <c r="P17" i="3" s="1"/>
  <c r="H19" i="3"/>
  <c r="M19" i="3" s="1"/>
  <c r="R19" i="3" s="1"/>
  <c r="J19" i="3"/>
  <c r="N19" i="3" s="1"/>
  <c r="L19" i="3"/>
  <c r="Q19" i="3" s="1"/>
  <c r="K19" i="3"/>
  <c r="P19" i="3" s="1"/>
  <c r="K32" i="3"/>
  <c r="V32" i="3"/>
  <c r="M32" i="3"/>
  <c r="J32" i="3"/>
  <c r="U32" i="3"/>
  <c r="R32" i="3"/>
  <c r="P32" i="3"/>
  <c r="H32" i="3"/>
  <c r="AT33" i="3" s="1"/>
  <c r="S32" i="3"/>
  <c r="T32" i="3" s="1"/>
  <c r="AD32" i="3" s="1"/>
  <c r="AH32" i="3" s="1"/>
  <c r="E35" i="4" s="1"/>
  <c r="L32" i="3"/>
  <c r="Q32" i="3" s="1"/>
  <c r="Y32" i="3"/>
  <c r="N32" i="3"/>
  <c r="O32" i="3" s="1"/>
  <c r="W32" i="3" s="1"/>
  <c r="L10" i="3"/>
  <c r="Q10" i="3" s="1"/>
  <c r="K10" i="3"/>
  <c r="P10" i="3" s="1"/>
  <c r="J10" i="3"/>
  <c r="N10" i="3" s="1"/>
  <c r="O10" i="3" s="1"/>
  <c r="W10" i="3" s="1"/>
  <c r="X10" i="3" s="1"/>
  <c r="H10" i="3"/>
  <c r="M10" i="3" s="1"/>
  <c r="L22" i="3"/>
  <c r="Q22" i="3" s="1"/>
  <c r="K22" i="3"/>
  <c r="P22" i="3" s="1"/>
  <c r="H22" i="3"/>
  <c r="S22" i="3" s="1"/>
  <c r="T22" i="3" s="1"/>
  <c r="AD22" i="3" s="1"/>
  <c r="AH22" i="3" s="1"/>
  <c r="E25" i="4" s="1"/>
  <c r="J22" i="3"/>
  <c r="N22" i="3" s="1"/>
  <c r="O22" i="3" s="1"/>
  <c r="W22" i="3" s="1"/>
  <c r="X22" i="3" s="1"/>
  <c r="AG22" i="3" s="1"/>
  <c r="D25" i="4" s="1"/>
  <c r="L21" i="3"/>
  <c r="Q21" i="3" s="1"/>
  <c r="H21" i="3"/>
  <c r="K21" i="3"/>
  <c r="P21" i="3" s="1"/>
  <c r="J21" i="3"/>
  <c r="N21" i="3" s="1"/>
  <c r="O21" i="3" s="1"/>
  <c r="W21" i="3" s="1"/>
  <c r="X21" i="3" s="1"/>
  <c r="M5" i="3" l="1"/>
  <c r="R5" i="3" s="1"/>
  <c r="AT6" i="3"/>
  <c r="AT7" i="3" s="1"/>
  <c r="AT8" i="3" s="1"/>
  <c r="AT9" i="3" s="1"/>
  <c r="AT10" i="3" s="1"/>
  <c r="AT11" i="3" s="1"/>
  <c r="AT12" i="3" s="1"/>
  <c r="AT13" i="3" s="1"/>
  <c r="AT14" i="3" s="1"/>
  <c r="AT15" i="3" s="1"/>
  <c r="AT16" i="3" s="1"/>
  <c r="AT17" i="3" s="1"/>
  <c r="AT18" i="3" s="1"/>
  <c r="AT19" i="3" s="1"/>
  <c r="AT20" i="3" s="1"/>
  <c r="AT21" i="3" s="1"/>
  <c r="AT22" i="3" s="1"/>
  <c r="AT23" i="3" s="1"/>
  <c r="AT24" i="3" s="1"/>
  <c r="AT25" i="3" s="1"/>
  <c r="S11" i="3"/>
  <c r="T11" i="3" s="1"/>
  <c r="AD11" i="3" s="1"/>
  <c r="AH11" i="3" s="1"/>
  <c r="E14" i="4" s="1"/>
  <c r="U14" i="3"/>
  <c r="V5" i="3"/>
  <c r="Y7" i="3"/>
  <c r="V15" i="3"/>
  <c r="R18" i="3"/>
  <c r="U18" i="3"/>
  <c r="R8" i="3"/>
  <c r="O17" i="3"/>
  <c r="W17" i="3" s="1"/>
  <c r="X17" i="3" s="1"/>
  <c r="Y17" i="3" s="1"/>
  <c r="S17" i="3"/>
  <c r="T17" i="3" s="1"/>
  <c r="AD17" i="3" s="1"/>
  <c r="AH17" i="3" s="1"/>
  <c r="E20" i="4" s="1"/>
  <c r="V8" i="3"/>
  <c r="V23" i="3"/>
  <c r="V21" i="3"/>
  <c r="U12" i="3"/>
  <c r="U16" i="3"/>
  <c r="S14" i="3"/>
  <c r="T14" i="3" s="1"/>
  <c r="AD14" i="3" s="1"/>
  <c r="AH14" i="3" s="1"/>
  <c r="E17" i="4" s="1"/>
  <c r="AB7" i="3"/>
  <c r="AB24" i="3"/>
  <c r="U19" i="3"/>
  <c r="U13" i="3"/>
  <c r="AC24" i="3"/>
  <c r="AC22" i="3"/>
  <c r="V19" i="3"/>
  <c r="M12" i="3"/>
  <c r="R12" i="3" s="1"/>
  <c r="U23" i="3"/>
  <c r="Z22" i="3"/>
  <c r="AA22" i="3" s="1"/>
  <c r="AB22" i="3"/>
  <c r="M14" i="3"/>
  <c r="AC7" i="3"/>
  <c r="M7" i="3"/>
  <c r="R7" i="3" s="1"/>
  <c r="V7" i="3"/>
  <c r="S20" i="3"/>
  <c r="T20" i="3" s="1"/>
  <c r="AD20" i="3" s="1"/>
  <c r="AH20" i="3" s="1"/>
  <c r="E23" i="4" s="1"/>
  <c r="Z7" i="3"/>
  <c r="AA7" i="3" s="1"/>
  <c r="Y18" i="3"/>
  <c r="AB18" i="3"/>
  <c r="Z18" i="3"/>
  <c r="AA18" i="3" s="1"/>
  <c r="AC18" i="3"/>
  <c r="AG18" i="3"/>
  <c r="D21" i="4" s="1"/>
  <c r="Y21" i="3"/>
  <c r="AC21" i="3"/>
  <c r="AG21" i="3"/>
  <c r="D24" i="4" s="1"/>
  <c r="AB21" i="3"/>
  <c r="Z21" i="3"/>
  <c r="AA21" i="3" s="1"/>
  <c r="Y9" i="3"/>
  <c r="Z9" i="3"/>
  <c r="AA9" i="3" s="1"/>
  <c r="AB9" i="3"/>
  <c r="AC9" i="3"/>
  <c r="AG9" i="3"/>
  <c r="D12" i="4" s="1"/>
  <c r="Z17" i="3"/>
  <c r="AA17" i="3" s="1"/>
  <c r="AG11" i="3"/>
  <c r="D14" i="4" s="1"/>
  <c r="AB11" i="3"/>
  <c r="Z11" i="3"/>
  <c r="AA11" i="3" s="1"/>
  <c r="AC11" i="3"/>
  <c r="Y5" i="3"/>
  <c r="AB5" i="3"/>
  <c r="Z5" i="3"/>
  <c r="AA5" i="3" s="1"/>
  <c r="AC5" i="3"/>
  <c r="AG5" i="3"/>
  <c r="D8" i="4" s="1"/>
  <c r="Y23" i="3"/>
  <c r="AC23" i="3"/>
  <c r="AB23" i="3"/>
  <c r="Z23" i="3"/>
  <c r="AA23" i="3" s="1"/>
  <c r="AG23" i="3"/>
  <c r="D26" i="4" s="1"/>
  <c r="AG20" i="3"/>
  <c r="D23" i="4" s="1"/>
  <c r="Z20" i="3"/>
  <c r="AA20" i="3" s="1"/>
  <c r="AB20" i="3"/>
  <c r="AC20" i="3"/>
  <c r="AG10" i="3"/>
  <c r="D13" i="4" s="1"/>
  <c r="AB10" i="3"/>
  <c r="Z10" i="3"/>
  <c r="AA10" i="3" s="1"/>
  <c r="AC10" i="3"/>
  <c r="AB14" i="3"/>
  <c r="Z14" i="3"/>
  <c r="AA14" i="3" s="1"/>
  <c r="AG14" i="3"/>
  <c r="D17" i="4" s="1"/>
  <c r="AC14" i="3"/>
  <c r="AC13" i="3"/>
  <c r="AG13" i="3"/>
  <c r="D16" i="4" s="1"/>
  <c r="Z13" i="3"/>
  <c r="AA13" i="3" s="1"/>
  <c r="AB13" i="3"/>
  <c r="Y16" i="3"/>
  <c r="Z16" i="3"/>
  <c r="AA16" i="3" s="1"/>
  <c r="AB16" i="3"/>
  <c r="AC16" i="3"/>
  <c r="AG16" i="3"/>
  <c r="D19" i="4" s="1"/>
  <c r="AB6" i="3"/>
  <c r="Z6" i="3"/>
  <c r="AA6" i="3" s="1"/>
  <c r="AC6" i="3"/>
  <c r="AG6" i="3"/>
  <c r="D9" i="4" s="1"/>
  <c r="AC15" i="3"/>
  <c r="AB15" i="3"/>
  <c r="Z15" i="3"/>
  <c r="AA15" i="3" s="1"/>
  <c r="AG15" i="3"/>
  <c r="D18" i="4" s="1"/>
  <c r="Y8" i="3"/>
  <c r="AC8" i="3"/>
  <c r="AB8" i="3"/>
  <c r="Z8" i="3"/>
  <c r="AA8" i="3" s="1"/>
  <c r="AG8" i="3"/>
  <c r="D11" i="4" s="1"/>
  <c r="U24" i="3"/>
  <c r="U20" i="3"/>
  <c r="V20" i="3"/>
  <c r="Y10" i="3"/>
  <c r="V17" i="3"/>
  <c r="V9" i="3"/>
  <c r="M24" i="3"/>
  <c r="R24" i="3" s="1"/>
  <c r="Y13" i="3"/>
  <c r="U7" i="3"/>
  <c r="U21" i="3"/>
  <c r="V24" i="3"/>
  <c r="M17" i="3"/>
  <c r="R17" i="3" s="1"/>
  <c r="S7" i="3"/>
  <c r="T7" i="3" s="1"/>
  <c r="AD7" i="3" s="1"/>
  <c r="AH7" i="3" s="1"/>
  <c r="E10" i="4" s="1"/>
  <c r="M20" i="3"/>
  <c r="R20" i="3" s="1"/>
  <c r="M21" i="3"/>
  <c r="R21" i="3" s="1"/>
  <c r="M22" i="3"/>
  <c r="R22" i="3" s="1"/>
  <c r="U17" i="3"/>
  <c r="S24" i="3"/>
  <c r="T24" i="3" s="1"/>
  <c r="AD24" i="3" s="1"/>
  <c r="AH24" i="3" s="1"/>
  <c r="E27" i="4" s="1"/>
  <c r="M15" i="3"/>
  <c r="R15" i="3" s="1"/>
  <c r="S8" i="3"/>
  <c r="T8" i="3" s="1"/>
  <c r="AD8" i="3" s="1"/>
  <c r="AH8" i="3" s="1"/>
  <c r="E11" i="4" s="1"/>
  <c r="S21" i="3"/>
  <c r="T21" i="3" s="1"/>
  <c r="AD21" i="3" s="1"/>
  <c r="AH21" i="3" s="1"/>
  <c r="E24" i="4" s="1"/>
  <c r="U11" i="3"/>
  <c r="U9" i="3"/>
  <c r="Y24" i="3"/>
  <c r="Y15" i="3"/>
  <c r="V16" i="3"/>
  <c r="Y20" i="3"/>
  <c r="V14" i="3"/>
  <c r="O19" i="3"/>
  <c r="W19" i="3" s="1"/>
  <c r="X19" i="3" s="1"/>
  <c r="S19" i="3"/>
  <c r="T19" i="3" s="1"/>
  <c r="AD19" i="3" s="1"/>
  <c r="AH19" i="3" s="1"/>
  <c r="E22" i="4" s="1"/>
  <c r="O12" i="3"/>
  <c r="W12" i="3" s="1"/>
  <c r="X12" i="3" s="1"/>
  <c r="S12" i="3"/>
  <c r="T12" i="3" s="1"/>
  <c r="AD12" i="3" s="1"/>
  <c r="AH12" i="3" s="1"/>
  <c r="E15" i="4" s="1"/>
  <c r="V18" i="3"/>
  <c r="S23" i="3"/>
  <c r="T23" i="3" s="1"/>
  <c r="AD23" i="3" s="1"/>
  <c r="AH23" i="3" s="1"/>
  <c r="E26" i="4" s="1"/>
  <c r="S10" i="3"/>
  <c r="T10" i="3" s="1"/>
  <c r="AD10" i="3" s="1"/>
  <c r="AH10" i="3" s="1"/>
  <c r="E13" i="4" s="1"/>
  <c r="S18" i="3"/>
  <c r="T18" i="3" s="1"/>
  <c r="AD18" i="3" s="1"/>
  <c r="AH18" i="3" s="1"/>
  <c r="E21" i="4" s="1"/>
  <c r="M11" i="3"/>
  <c r="R11" i="3" s="1"/>
  <c r="V12" i="3"/>
  <c r="R14" i="3"/>
  <c r="M6" i="3"/>
  <c r="R6" i="3" s="1"/>
  <c r="V10" i="3"/>
  <c r="S15" i="3"/>
  <c r="T15" i="3" s="1"/>
  <c r="AD15" i="3" s="1"/>
  <c r="AH15" i="3" s="1"/>
  <c r="E18" i="4" s="1"/>
  <c r="U8" i="3"/>
  <c r="Y14" i="3"/>
  <c r="V6" i="3"/>
  <c r="Y6" i="3"/>
  <c r="V11" i="3"/>
  <c r="M9" i="3"/>
  <c r="R9" i="3" s="1"/>
  <c r="U6" i="3"/>
  <c r="U22" i="3"/>
  <c r="R10" i="3"/>
  <c r="S9" i="3"/>
  <c r="T9" i="3" s="1"/>
  <c r="AD9" i="3" s="1"/>
  <c r="AH9" i="3" s="1"/>
  <c r="E12" i="4" s="1"/>
  <c r="M13" i="3"/>
  <c r="R13" i="3" s="1"/>
  <c r="V13" i="3"/>
  <c r="S5" i="3"/>
  <c r="T5" i="3" s="1"/>
  <c r="AD5" i="3" s="1"/>
  <c r="AH5" i="3" s="1"/>
  <c r="S16" i="3"/>
  <c r="T16" i="3" s="1"/>
  <c r="AD16" i="3" s="1"/>
  <c r="AH16" i="3" s="1"/>
  <c r="E19" i="4" s="1"/>
  <c r="U10" i="3"/>
  <c r="V22" i="3"/>
  <c r="Y22" i="3"/>
  <c r="S13" i="3"/>
  <c r="T13" i="3" s="1"/>
  <c r="AD13" i="3" s="1"/>
  <c r="AH13" i="3" s="1"/>
  <c r="E16" i="4" s="1"/>
  <c r="Y11" i="3"/>
  <c r="U15" i="3"/>
  <c r="S6" i="3"/>
  <c r="T6" i="3" s="1"/>
  <c r="AD6" i="3" s="1"/>
  <c r="AH6" i="3" s="1"/>
  <c r="E9" i="4" s="1"/>
  <c r="AG17" i="3" l="1"/>
  <c r="D20" i="4" s="1"/>
  <c r="AC17" i="3"/>
  <c r="AB17" i="3"/>
  <c r="E8" i="4"/>
  <c r="AI5" i="3"/>
  <c r="Y19" i="3"/>
  <c r="AG19" i="3"/>
  <c r="D22" i="4" s="1"/>
  <c r="AB19" i="3"/>
  <c r="Z19" i="3"/>
  <c r="AA19" i="3" s="1"/>
  <c r="AC19" i="3"/>
  <c r="Y12" i="3"/>
  <c r="Z12" i="3"/>
  <c r="AA12" i="3" s="1"/>
  <c r="AG12" i="3"/>
  <c r="D15" i="4" s="1"/>
  <c r="AC12" i="3"/>
  <c r="AB12" i="3"/>
  <c r="F8" i="4" l="1"/>
  <c r="AI6" i="3"/>
  <c r="C15" i="2"/>
  <c r="B15" i="2"/>
  <c r="C14" i="2"/>
  <c r="N17" i="2" l="1"/>
  <c r="D25" i="2"/>
  <c r="E14" i="2"/>
  <c r="L25" i="2"/>
  <c r="H25" i="2"/>
  <c r="G25" i="2"/>
  <c r="X17" i="2"/>
  <c r="Y16" i="2" s="1"/>
  <c r="AD16" i="2" s="1"/>
  <c r="AB10" i="2" s="1"/>
  <c r="F9" i="4"/>
  <c r="AI7" i="3"/>
  <c r="D14" i="2"/>
  <c r="I15" i="2" l="1"/>
  <c r="Z16" i="2"/>
  <c r="AA16" i="2" s="1"/>
  <c r="AB16" i="2" s="1"/>
  <c r="AA17" i="2" s="1"/>
  <c r="G24" i="2"/>
  <c r="X82" i="2"/>
  <c r="F10" i="4"/>
  <c r="AI8" i="3"/>
  <c r="B26" i="2" l="1"/>
  <c r="B27" i="2" s="1"/>
  <c r="F11" i="4"/>
  <c r="AI9" i="3"/>
  <c r="F14" i="2"/>
  <c r="BA78" i="2"/>
  <c r="F12" i="4" l="1"/>
  <c r="AI10" i="3"/>
  <c r="AI11" i="3" l="1"/>
  <c r="F13" i="4"/>
  <c r="G26" i="2" l="1"/>
  <c r="H26" i="2" s="1"/>
  <c r="AI12" i="3"/>
  <c r="F14" i="4"/>
  <c r="AI13" i="3" l="1"/>
  <c r="F15" i="4"/>
  <c r="Y78" i="2"/>
  <c r="AI14" i="3" l="1"/>
  <c r="F16" i="4"/>
  <c r="Y81" i="2"/>
  <c r="Y85" i="2"/>
  <c r="AI15" i="3" l="1"/>
  <c r="F17" i="4"/>
  <c r="J25" i="2"/>
  <c r="AI16" i="3" l="1"/>
  <c r="F18" i="4"/>
  <c r="G11" i="2"/>
  <c r="G12" i="2" s="1"/>
  <c r="AB17" i="2" l="1"/>
  <c r="AI17" i="3"/>
  <c r="F19" i="4"/>
  <c r="X87" i="2"/>
  <c r="X86" i="2"/>
  <c r="D11" i="2"/>
  <c r="AI18" i="3" l="1"/>
  <c r="F20" i="4"/>
  <c r="AC86" i="2"/>
  <c r="Z86" i="2"/>
  <c r="AB86" i="2"/>
  <c r="X79" i="2"/>
  <c r="AG2" i="2"/>
  <c r="AG1" i="2"/>
  <c r="E11" i="2"/>
  <c r="F11" i="2"/>
  <c r="AI19" i="3" l="1"/>
  <c r="F21" i="4"/>
  <c r="X83" i="2"/>
  <c r="X88" i="2"/>
  <c r="Y79" i="2"/>
  <c r="X78" i="2"/>
  <c r="Z78" i="2" s="1"/>
  <c r="E27" i="2"/>
  <c r="C25" i="2"/>
  <c r="E25" i="2"/>
  <c r="B25" i="2"/>
  <c r="AI20" i="3" l="1"/>
  <c r="F22" i="4"/>
  <c r="AB87" i="2"/>
  <c r="Z87" i="2"/>
  <c r="AC87" i="2"/>
  <c r="X81" i="2"/>
  <c r="X85" i="2"/>
  <c r="AB78" i="2"/>
  <c r="Y88" i="2"/>
  <c r="AA78" i="2"/>
  <c r="AD78" i="2" s="1"/>
  <c r="AI78" i="2" s="1"/>
  <c r="Z82" i="2"/>
  <c r="AC82" i="2"/>
  <c r="AB82" i="2"/>
  <c r="Y83" i="2"/>
  <c r="AC78" i="2"/>
  <c r="I16" i="2"/>
  <c r="C26" i="2" s="1"/>
  <c r="F15" i="2"/>
  <c r="G14" i="2" l="1"/>
  <c r="H14" i="2"/>
  <c r="H15" i="2" s="1"/>
  <c r="AI21" i="3"/>
  <c r="F23" i="4"/>
  <c r="AF78" i="2"/>
  <c r="AG78" i="2" s="1"/>
  <c r="AH78" i="2"/>
  <c r="AM78" i="2" s="1"/>
  <c r="AC85" i="2"/>
  <c r="Z85" i="2"/>
  <c r="AB85" i="2"/>
  <c r="AC81" i="2"/>
  <c r="AB81" i="2"/>
  <c r="Z81" i="2"/>
  <c r="AE78" i="2"/>
  <c r="AO78" i="2" s="1"/>
  <c r="AP78" i="2" s="1"/>
  <c r="AY78" i="2" s="1"/>
  <c r="F6" i="1" s="1"/>
  <c r="AN78" i="2"/>
  <c r="I26" i="2"/>
  <c r="J26" i="2" s="1"/>
  <c r="AE16" i="2"/>
  <c r="AF16" i="2" s="1"/>
  <c r="G27" i="2"/>
  <c r="H27" i="2" s="1"/>
  <c r="G4" i="1"/>
  <c r="AD17" i="2" l="1"/>
  <c r="AC15" i="2" s="1"/>
  <c r="B17" i="2"/>
  <c r="B18" i="2" s="1"/>
  <c r="C17" i="2" s="1"/>
  <c r="T23" i="2"/>
  <c r="G28" i="2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15" i="2"/>
  <c r="AI22" i="3"/>
  <c r="F24" i="4"/>
  <c r="AA18" i="2"/>
  <c r="AB18" i="2" s="1"/>
  <c r="AK78" i="2"/>
  <c r="AL78" i="2" s="1"/>
  <c r="AR78" i="2"/>
  <c r="AS78" i="2" s="1"/>
  <c r="AT78" i="2"/>
  <c r="AU78" i="2"/>
  <c r="AJ78" i="2"/>
  <c r="AQ78" i="2"/>
  <c r="B28" i="2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H7" i="2" l="1"/>
  <c r="D8" i="1" s="1"/>
  <c r="M3" i="2"/>
  <c r="C18" i="2"/>
  <c r="C19" i="2" s="1"/>
  <c r="M25" i="2" s="1"/>
  <c r="O17" i="2"/>
  <c r="O16" i="2"/>
  <c r="P16" i="2" s="1"/>
  <c r="Q16" i="2" s="1"/>
  <c r="C27" i="2"/>
  <c r="F7" i="2"/>
  <c r="G7" i="2"/>
  <c r="A8" i="1" s="1"/>
  <c r="F9" i="2"/>
  <c r="F8" i="2"/>
  <c r="E8" i="1" s="1"/>
  <c r="F4" i="6" s="1"/>
  <c r="G4" i="6" s="1"/>
  <c r="Y25" i="2"/>
  <c r="X25" i="2"/>
  <c r="Y82" i="2"/>
  <c r="H28" i="2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I27" i="2"/>
  <c r="J27" i="2" s="1"/>
  <c r="AI23" i="3"/>
  <c r="F25" i="4"/>
  <c r="AV78" i="2"/>
  <c r="AZ78" i="2" s="1"/>
  <c r="G6" i="1" s="1"/>
  <c r="E26" i="2"/>
  <c r="F5" i="1"/>
  <c r="F4" i="1"/>
  <c r="B51" i="2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AW25" i="2" l="1"/>
  <c r="BI25" i="2"/>
  <c r="F3" i="5"/>
  <c r="G3" i="5" s="1"/>
  <c r="F3" i="6"/>
  <c r="G3" i="6" s="1"/>
  <c r="H3" i="5"/>
  <c r="H3" i="6"/>
  <c r="P17" i="2"/>
  <c r="F4" i="5"/>
  <c r="G4" i="5" s="1"/>
  <c r="G8" i="1"/>
  <c r="H6" i="1"/>
  <c r="C28" i="2"/>
  <c r="I28" i="2"/>
  <c r="J28" i="2" s="1"/>
  <c r="AI24" i="3"/>
  <c r="F27" i="4" s="1"/>
  <c r="F26" i="4"/>
  <c r="AA82" i="2"/>
  <c r="AA81" i="2"/>
  <c r="B20" i="2"/>
  <c r="C6" i="1" s="1"/>
  <c r="AE17" i="2"/>
  <c r="AF17" i="2" s="1"/>
  <c r="G9" i="1" s="1"/>
  <c r="Q17" i="2" l="1"/>
  <c r="R17" i="2" s="1"/>
  <c r="S17" i="2"/>
  <c r="T17" i="2" s="1"/>
  <c r="U17" i="2" s="1"/>
  <c r="V17" i="2" s="1"/>
  <c r="W17" i="2" s="1"/>
  <c r="R16" i="2"/>
  <c r="S16" i="2"/>
  <c r="T16" i="2" s="1"/>
  <c r="U16" i="2" s="1"/>
  <c r="V16" i="2" s="1"/>
  <c r="W16" i="2" s="1"/>
  <c r="Y86" i="2"/>
  <c r="AA85" i="2" s="1"/>
  <c r="AH85" i="2" s="1"/>
  <c r="AM85" i="2" s="1"/>
  <c r="Y87" i="2"/>
  <c r="AA87" i="2" s="1"/>
  <c r="D17" i="2"/>
  <c r="AD81" i="2"/>
  <c r="AI81" i="2" s="1"/>
  <c r="AN81" i="2" s="1"/>
  <c r="AE81" i="2"/>
  <c r="AH81" i="2"/>
  <c r="AM81" i="2" s="1"/>
  <c r="AF81" i="2"/>
  <c r="AG81" i="2" s="1"/>
  <c r="AE82" i="2"/>
  <c r="AD82" i="2"/>
  <c r="AI82" i="2" s="1"/>
  <c r="AN82" i="2" s="1"/>
  <c r="AF82" i="2"/>
  <c r="AG82" i="2" s="1"/>
  <c r="AH82" i="2"/>
  <c r="AM82" i="2" s="1"/>
  <c r="C29" i="2"/>
  <c r="I29" i="2"/>
  <c r="J29" i="2" s="1"/>
  <c r="AF85" i="2" l="1"/>
  <c r="AE85" i="2"/>
  <c r="AJ85" i="2" s="1"/>
  <c r="AD85" i="2"/>
  <c r="AI85" i="2" s="1"/>
  <c r="AN85" i="2" s="1"/>
  <c r="AA86" i="2"/>
  <c r="AD86" i="2" s="1"/>
  <c r="AI86" i="2" s="1"/>
  <c r="AO86" i="2" s="1"/>
  <c r="AP86" i="2" s="1"/>
  <c r="AH87" i="2"/>
  <c r="AM87" i="2" s="1"/>
  <c r="AD87" i="2"/>
  <c r="AI87" i="2" s="1"/>
  <c r="AE87" i="2"/>
  <c r="AJ87" i="2" s="1"/>
  <c r="AF87" i="2"/>
  <c r="AG87" i="2" s="1"/>
  <c r="AG85" i="2"/>
  <c r="AK85" i="2"/>
  <c r="AL85" i="2" s="1"/>
  <c r="C20" i="2"/>
  <c r="D6" i="1" s="1"/>
  <c r="AO82" i="2"/>
  <c r="AP82" i="2" s="1"/>
  <c r="AY82" i="2" s="1"/>
  <c r="AJ82" i="2"/>
  <c r="AK82" i="2"/>
  <c r="AL82" i="2" s="1"/>
  <c r="AK81" i="2"/>
  <c r="AL81" i="2" s="1"/>
  <c r="AJ81" i="2"/>
  <c r="AO81" i="2"/>
  <c r="AP81" i="2" s="1"/>
  <c r="C30" i="2"/>
  <c r="I30" i="2"/>
  <c r="J30" i="2" s="1"/>
  <c r="AH86" i="2" l="1"/>
  <c r="AT86" i="2"/>
  <c r="AO85" i="2"/>
  <c r="AP85" i="2" s="1"/>
  <c r="AQ85" i="2" s="1"/>
  <c r="AN86" i="2"/>
  <c r="AV86" i="2" s="1"/>
  <c r="AZ86" i="2" s="1"/>
  <c r="AF86" i="2"/>
  <c r="AG86" i="2" s="1"/>
  <c r="D26" i="2"/>
  <c r="AU86" i="2"/>
  <c r="AE86" i="2"/>
  <c r="AJ86" i="2" s="1"/>
  <c r="AK86" i="2"/>
  <c r="AL86" i="2" s="1"/>
  <c r="AR86" i="2"/>
  <c r="AS86" i="2" s="1"/>
  <c r="AM86" i="2"/>
  <c r="AK87" i="2"/>
  <c r="AL87" i="2" s="1"/>
  <c r="AQ86" i="2"/>
  <c r="AY86" i="2"/>
  <c r="AN87" i="2"/>
  <c r="AV87" i="2" s="1"/>
  <c r="AZ87" i="2" s="1"/>
  <c r="AO87" i="2"/>
  <c r="AP87" i="2" s="1"/>
  <c r="C31" i="2"/>
  <c r="C32" i="2" s="1"/>
  <c r="AR82" i="2"/>
  <c r="AS82" i="2" s="1"/>
  <c r="AQ82" i="2"/>
  <c r="AU82" i="2"/>
  <c r="AV82" i="2" s="1"/>
  <c r="AZ82" i="2" s="1"/>
  <c r="AT82" i="2"/>
  <c r="AQ81" i="2"/>
  <c r="AT81" i="2"/>
  <c r="AY81" i="2"/>
  <c r="AR81" i="2"/>
  <c r="AS81" i="2" s="1"/>
  <c r="AU81" i="2"/>
  <c r="AV81" i="2" s="1"/>
  <c r="AZ81" i="2" s="1"/>
  <c r="D18" i="2"/>
  <c r="C7" i="1" s="1"/>
  <c r="E17" i="2"/>
  <c r="E18" i="2" s="1"/>
  <c r="D7" i="1" s="1"/>
  <c r="I31" i="2"/>
  <c r="J31" i="2" s="1"/>
  <c r="AY85" i="2" l="1"/>
  <c r="AT85" i="2"/>
  <c r="AR85" i="2"/>
  <c r="AS85" i="2" s="1"/>
  <c r="AU85" i="2"/>
  <c r="AV85" i="2" s="1"/>
  <c r="AZ85" i="2" s="1"/>
  <c r="BA85" i="2" s="1"/>
  <c r="AR87" i="2"/>
  <c r="AS87" i="2" s="1"/>
  <c r="AT87" i="2"/>
  <c r="AU87" i="2"/>
  <c r="AY87" i="2"/>
  <c r="AQ87" i="2"/>
  <c r="BA81" i="2"/>
  <c r="I32" i="2"/>
  <c r="J32" i="2" s="1"/>
  <c r="C33" i="2"/>
  <c r="L26" i="2" l="1"/>
  <c r="M26" i="2" s="1"/>
  <c r="N25" i="2" s="1"/>
  <c r="I33" i="2"/>
  <c r="J33" i="2" s="1"/>
  <c r="C34" i="2"/>
  <c r="Q25" i="2" l="1"/>
  <c r="I34" i="2"/>
  <c r="J34" i="2" s="1"/>
  <c r="C35" i="2"/>
  <c r="R25" i="2" l="1"/>
  <c r="S25" i="2" s="1"/>
  <c r="T25" i="2"/>
  <c r="U25" i="2" s="1"/>
  <c r="I35" i="2"/>
  <c r="J35" i="2" s="1"/>
  <c r="C36" i="2"/>
  <c r="V25" i="2" l="1"/>
  <c r="W25" i="2"/>
  <c r="I36" i="2"/>
  <c r="J36" i="2" s="1"/>
  <c r="C37" i="2"/>
  <c r="C12" i="1" l="1"/>
  <c r="B12" i="1" s="1"/>
  <c r="AX25" i="2"/>
  <c r="D12" i="1" s="1"/>
  <c r="I37" i="2"/>
  <c r="J37" i="2" s="1"/>
  <c r="C38" i="2"/>
  <c r="I38" i="2" l="1"/>
  <c r="J38" i="2" s="1"/>
  <c r="C39" i="2"/>
  <c r="I39" i="2" l="1"/>
  <c r="J39" i="2" s="1"/>
  <c r="C40" i="2"/>
  <c r="I40" i="2" l="1"/>
  <c r="J40" i="2" s="1"/>
  <c r="C41" i="2"/>
  <c r="I41" i="2" l="1"/>
  <c r="J41" i="2" s="1"/>
  <c r="C42" i="2"/>
  <c r="I42" i="2" l="1"/>
  <c r="J42" i="2" s="1"/>
  <c r="C43" i="2"/>
  <c r="I43" i="2" l="1"/>
  <c r="J43" i="2" s="1"/>
  <c r="C44" i="2"/>
  <c r="I44" i="2" l="1"/>
  <c r="J44" i="2" s="1"/>
  <c r="C45" i="2"/>
  <c r="I45" i="2" l="1"/>
  <c r="J45" i="2" s="1"/>
  <c r="C46" i="2"/>
  <c r="I46" i="2" l="1"/>
  <c r="J46" i="2" s="1"/>
  <c r="C47" i="2"/>
  <c r="I47" i="2" l="1"/>
  <c r="J47" i="2" s="1"/>
  <c r="C48" i="2"/>
  <c r="I48" i="2" l="1"/>
  <c r="J48" i="2" s="1"/>
  <c r="C49" i="2"/>
  <c r="I49" i="2" l="1"/>
  <c r="J49" i="2" s="1"/>
  <c r="C50" i="2"/>
  <c r="I50" i="2" l="1"/>
  <c r="J50" i="2" s="1"/>
  <c r="C51" i="2"/>
  <c r="I51" i="2" l="1"/>
  <c r="J51" i="2" s="1"/>
  <c r="C52" i="2"/>
  <c r="I52" i="2" l="1"/>
  <c r="J52" i="2" s="1"/>
  <c r="C53" i="2"/>
  <c r="I53" i="2" l="1"/>
  <c r="J53" i="2" s="1"/>
  <c r="C54" i="2"/>
  <c r="I54" i="2" l="1"/>
  <c r="J54" i="2" s="1"/>
  <c r="C55" i="2"/>
  <c r="I55" i="2" l="1"/>
  <c r="J55" i="2" s="1"/>
  <c r="C56" i="2"/>
  <c r="I56" i="2" l="1"/>
  <c r="J56" i="2" s="1"/>
  <c r="C57" i="2"/>
  <c r="I57" i="2" l="1"/>
  <c r="J57" i="2" s="1"/>
  <c r="C58" i="2"/>
  <c r="I58" i="2" l="1"/>
  <c r="J58" i="2" s="1"/>
  <c r="C59" i="2"/>
  <c r="I59" i="2" l="1"/>
  <c r="J59" i="2" s="1"/>
  <c r="C60" i="2"/>
  <c r="I60" i="2" l="1"/>
  <c r="J60" i="2" s="1"/>
  <c r="C61" i="2"/>
  <c r="I61" i="2" l="1"/>
  <c r="J61" i="2" s="1"/>
  <c r="C62" i="2"/>
  <c r="I62" i="2" l="1"/>
  <c r="J62" i="2" s="1"/>
  <c r="C63" i="2"/>
  <c r="I63" i="2" l="1"/>
  <c r="J63" i="2" s="1"/>
  <c r="C64" i="2"/>
  <c r="I64" i="2" l="1"/>
  <c r="J64" i="2" s="1"/>
  <c r="C65" i="2"/>
  <c r="I65" i="2" l="1"/>
  <c r="J65" i="2" s="1"/>
  <c r="C66" i="2"/>
  <c r="I66" i="2" l="1"/>
  <c r="J66" i="2" s="1"/>
  <c r="C67" i="2"/>
  <c r="I67" i="2" l="1"/>
  <c r="J67" i="2" s="1"/>
  <c r="C68" i="2"/>
  <c r="I68" i="2" l="1"/>
  <c r="J68" i="2" s="1"/>
  <c r="C69" i="2"/>
  <c r="I69" i="2" l="1"/>
  <c r="J69" i="2" s="1"/>
  <c r="C70" i="2"/>
  <c r="I70" i="2" l="1"/>
  <c r="J70" i="2" s="1"/>
  <c r="C71" i="2"/>
  <c r="I71" i="2" l="1"/>
  <c r="J71" i="2" s="1"/>
  <c r="C72" i="2"/>
  <c r="I72" i="2" l="1"/>
  <c r="J72" i="2" s="1"/>
  <c r="C73" i="2"/>
  <c r="I73" i="2" l="1"/>
  <c r="J73" i="2" s="1"/>
  <c r="C74" i="2"/>
  <c r="I75" i="2" l="1"/>
  <c r="J75" i="2" s="1"/>
  <c r="I74" i="2"/>
  <c r="J74" i="2" s="1"/>
  <c r="C75" i="2"/>
  <c r="D27" i="2" l="1"/>
  <c r="L27" i="2" l="1"/>
  <c r="D28" i="2"/>
  <c r="M27" i="2" l="1"/>
  <c r="N26" i="2" s="1"/>
  <c r="O26" i="2" s="1"/>
  <c r="Q26" i="2" s="1"/>
  <c r="R26" i="2" s="1"/>
  <c r="S26" i="2" s="1"/>
  <c r="D29" i="2"/>
  <c r="L28" i="2"/>
  <c r="M28" i="2" l="1"/>
  <c r="N27" i="2" s="1"/>
  <c r="O27" i="2" s="1"/>
  <c r="Q27" i="2" s="1"/>
  <c r="R27" i="2" s="1"/>
  <c r="S27" i="2" s="1"/>
  <c r="D30" i="2"/>
  <c r="L29" i="2"/>
  <c r="M29" i="2" l="1"/>
  <c r="N28" i="2" s="1"/>
  <c r="O28" i="2" s="1"/>
  <c r="D31" i="2"/>
  <c r="L30" i="2"/>
  <c r="M30" i="2" l="1"/>
  <c r="N29" i="2" s="1"/>
  <c r="O29" i="2" s="1"/>
  <c r="Q28" i="2" s="1"/>
  <c r="R28" i="2" s="1"/>
  <c r="S28" i="2" s="1"/>
  <c r="D32" i="2"/>
  <c r="L31" i="2"/>
  <c r="M31" i="2" l="1"/>
  <c r="N30" i="2" s="1"/>
  <c r="O30" i="2" s="1"/>
  <c r="Q29" i="2" s="1"/>
  <c r="R29" i="2" s="1"/>
  <c r="S29" i="2" s="1"/>
  <c r="D33" i="2"/>
  <c r="L32" i="2"/>
  <c r="M32" i="2" l="1"/>
  <c r="N31" i="2" s="1"/>
  <c r="O31" i="2" s="1"/>
  <c r="Q30" i="2" s="1"/>
  <c r="R30" i="2" s="1"/>
  <c r="S30" i="2" s="1"/>
  <c r="D34" i="2"/>
  <c r="L33" i="2"/>
  <c r="M33" i="2" l="1"/>
  <c r="N32" i="2" s="1"/>
  <c r="O32" i="2" s="1"/>
  <c r="Q31" i="2" s="1"/>
  <c r="R31" i="2" s="1"/>
  <c r="S31" i="2" s="1"/>
  <c r="D35" i="2"/>
  <c r="L34" i="2"/>
  <c r="M34" i="2" l="1"/>
  <c r="N33" i="2" s="1"/>
  <c r="O33" i="2" s="1"/>
  <c r="Q32" i="2" s="1"/>
  <c r="R32" i="2" s="1"/>
  <c r="S32" i="2" s="1"/>
  <c r="D36" i="2"/>
  <c r="L35" i="2"/>
  <c r="M35" i="2" s="1"/>
  <c r="N34" i="2" s="1"/>
  <c r="O34" i="2" s="1"/>
  <c r="Q33" i="2" l="1"/>
  <c r="R33" i="2" s="1"/>
  <c r="S33" i="2" s="1"/>
  <c r="D37" i="2"/>
  <c r="L36" i="2"/>
  <c r="M36" i="2" s="1"/>
  <c r="N35" i="2" l="1"/>
  <c r="O35" i="2" s="1"/>
  <c r="D38" i="2"/>
  <c r="L37" i="2"/>
  <c r="Q34" i="2" l="1"/>
  <c r="R34" i="2" s="1"/>
  <c r="S34" i="2" s="1"/>
  <c r="M37" i="2"/>
  <c r="N36" i="2" s="1"/>
  <c r="O36" i="2" s="1"/>
  <c r="D39" i="2"/>
  <c r="L38" i="2"/>
  <c r="M38" i="2" s="1"/>
  <c r="N37" i="2" l="1"/>
  <c r="O37" i="2" s="1"/>
  <c r="Q36" i="2" s="1"/>
  <c r="R36" i="2" s="1"/>
  <c r="S36" i="2" s="1"/>
  <c r="Q35" i="2"/>
  <c r="R35" i="2" s="1"/>
  <c r="S35" i="2" s="1"/>
  <c r="D40" i="2"/>
  <c r="L39" i="2"/>
  <c r="M39" i="2" s="1"/>
  <c r="N38" i="2" s="1"/>
  <c r="O38" i="2" s="1"/>
  <c r="Q37" i="2" l="1"/>
  <c r="R37" i="2" s="1"/>
  <c r="S37" i="2" s="1"/>
  <c r="D41" i="2"/>
  <c r="L40" i="2"/>
  <c r="M40" i="2" s="1"/>
  <c r="N39" i="2" s="1"/>
  <c r="O39" i="2" s="1"/>
  <c r="Q38" i="2" l="1"/>
  <c r="R38" i="2" s="1"/>
  <c r="S38" i="2" s="1"/>
  <c r="D42" i="2"/>
  <c r="L41" i="2"/>
  <c r="M41" i="2" s="1"/>
  <c r="N40" i="2" s="1"/>
  <c r="O40" i="2" s="1"/>
  <c r="Q39" i="2" l="1"/>
  <c r="R39" i="2" s="1"/>
  <c r="S39" i="2" s="1"/>
  <c r="D43" i="2"/>
  <c r="L42" i="2"/>
  <c r="M42" i="2" s="1"/>
  <c r="N41" i="2" s="1"/>
  <c r="O41" i="2" s="1"/>
  <c r="Q40" i="2" l="1"/>
  <c r="R40" i="2" s="1"/>
  <c r="S40" i="2" s="1"/>
  <c r="D44" i="2"/>
  <c r="L43" i="2"/>
  <c r="M43" i="2" s="1"/>
  <c r="N42" i="2" l="1"/>
  <c r="O42" i="2" s="1"/>
  <c r="D45" i="2"/>
  <c r="L44" i="2"/>
  <c r="M44" i="2" s="1"/>
  <c r="Q41" i="2" l="1"/>
  <c r="R41" i="2" s="1"/>
  <c r="S41" i="2" s="1"/>
  <c r="N43" i="2"/>
  <c r="O43" i="2" s="1"/>
  <c r="D46" i="2"/>
  <c r="L45" i="2"/>
  <c r="M45" i="2" s="1"/>
  <c r="Q42" i="2" l="1"/>
  <c r="R42" i="2" s="1"/>
  <c r="S42" i="2" s="1"/>
  <c r="N44" i="2"/>
  <c r="O44" i="2" s="1"/>
  <c r="D47" i="2"/>
  <c r="L46" i="2"/>
  <c r="M46" i="2" s="1"/>
  <c r="Q43" i="2" l="1"/>
  <c r="R43" i="2" s="1"/>
  <c r="S43" i="2" s="1"/>
  <c r="N45" i="2"/>
  <c r="O45" i="2" s="1"/>
  <c r="D48" i="2"/>
  <c r="L47" i="2"/>
  <c r="M47" i="2" s="1"/>
  <c r="Q44" i="2" l="1"/>
  <c r="R44" i="2" s="1"/>
  <c r="S44" i="2" s="1"/>
  <c r="N46" i="2"/>
  <c r="O46" i="2" s="1"/>
  <c r="Q46" i="2" s="1"/>
  <c r="R46" i="2" s="1"/>
  <c r="S46" i="2" s="1"/>
  <c r="D49" i="2"/>
  <c r="L48" i="2"/>
  <c r="M48" i="2" s="1"/>
  <c r="Q45" i="2" l="1"/>
  <c r="R45" i="2" s="1"/>
  <c r="S45" i="2" s="1"/>
  <c r="N47" i="2"/>
  <c r="O47" i="2" s="1"/>
  <c r="Q47" i="2" s="1"/>
  <c r="R47" i="2" s="1"/>
  <c r="S47" i="2" s="1"/>
  <c r="D50" i="2"/>
  <c r="L49" i="2"/>
  <c r="M49" i="2" s="1"/>
  <c r="N48" i="2" l="1"/>
  <c r="O48" i="2" s="1"/>
  <c r="Q48" i="2" s="1"/>
  <c r="R48" i="2" s="1"/>
  <c r="S48" i="2" s="1"/>
  <c r="D51" i="2"/>
  <c r="L50" i="2"/>
  <c r="M50" i="2" s="1"/>
  <c r="N49" i="2" l="1"/>
  <c r="O49" i="2" s="1"/>
  <c r="Q49" i="2" s="1"/>
  <c r="R49" i="2" s="1"/>
  <c r="S49" i="2" s="1"/>
  <c r="D52" i="2"/>
  <c r="L51" i="2"/>
  <c r="M51" i="2" s="1"/>
  <c r="N50" i="2" l="1"/>
  <c r="O50" i="2" s="1"/>
  <c r="Q50" i="2" s="1"/>
  <c r="R50" i="2" s="1"/>
  <c r="S50" i="2" s="1"/>
  <c r="D53" i="2"/>
  <c r="L52" i="2"/>
  <c r="M52" i="2" s="1"/>
  <c r="N51" i="2" l="1"/>
  <c r="O51" i="2" s="1"/>
  <c r="Q51" i="2" s="1"/>
  <c r="R51" i="2" s="1"/>
  <c r="S51" i="2" s="1"/>
  <c r="D54" i="2"/>
  <c r="L53" i="2"/>
  <c r="M53" i="2" s="1"/>
  <c r="N52" i="2" l="1"/>
  <c r="O52" i="2" s="1"/>
  <c r="Q52" i="2" s="1"/>
  <c r="R52" i="2" s="1"/>
  <c r="S52" i="2" s="1"/>
  <c r="D55" i="2"/>
  <c r="L54" i="2"/>
  <c r="M54" i="2" s="1"/>
  <c r="N53" i="2" l="1"/>
  <c r="O53" i="2" s="1"/>
  <c r="D56" i="2"/>
  <c r="L55" i="2"/>
  <c r="M55" i="2" s="1"/>
  <c r="N54" i="2" l="1"/>
  <c r="O54" i="2" s="1"/>
  <c r="Q53" i="2" s="1"/>
  <c r="R53" i="2" s="1"/>
  <c r="S53" i="2" s="1"/>
  <c r="D57" i="2"/>
  <c r="L56" i="2"/>
  <c r="M56" i="2" s="1"/>
  <c r="N55" i="2" l="1"/>
  <c r="O55" i="2" s="1"/>
  <c r="D58" i="2"/>
  <c r="L57" i="2"/>
  <c r="M57" i="2" s="1"/>
  <c r="Q54" i="2" l="1"/>
  <c r="R54" i="2" s="1"/>
  <c r="S54" i="2" s="1"/>
  <c r="Q55" i="2"/>
  <c r="R55" i="2" s="1"/>
  <c r="S55" i="2" s="1"/>
  <c r="N56" i="2"/>
  <c r="O56" i="2" s="1"/>
  <c r="Q56" i="2" s="1"/>
  <c r="R56" i="2" s="1"/>
  <c r="S56" i="2" s="1"/>
  <c r="D59" i="2"/>
  <c r="L58" i="2"/>
  <c r="M58" i="2" s="1"/>
  <c r="N57" i="2" s="1"/>
  <c r="O57" i="2" s="1"/>
  <c r="Q57" i="2" s="1"/>
  <c r="R57" i="2" s="1"/>
  <c r="S57" i="2" s="1"/>
  <c r="D60" i="2" l="1"/>
  <c r="L59" i="2"/>
  <c r="M59" i="2" s="1"/>
  <c r="N58" i="2" l="1"/>
  <c r="O58" i="2" s="1"/>
  <c r="Q58" i="2" s="1"/>
  <c r="R58" i="2" s="1"/>
  <c r="S58" i="2" s="1"/>
  <c r="D61" i="2"/>
  <c r="L60" i="2"/>
  <c r="M60" i="2" s="1"/>
  <c r="N59" i="2" l="1"/>
  <c r="O59" i="2" s="1"/>
  <c r="Q59" i="2" s="1"/>
  <c r="R59" i="2" s="1"/>
  <c r="S59" i="2" s="1"/>
  <c r="D62" i="2"/>
  <c r="L61" i="2"/>
  <c r="M61" i="2" s="1"/>
  <c r="N60" i="2" l="1"/>
  <c r="O60" i="2" s="1"/>
  <c r="Q60" i="2" s="1"/>
  <c r="R60" i="2" s="1"/>
  <c r="S60" i="2" s="1"/>
  <c r="D63" i="2"/>
  <c r="L62" i="2"/>
  <c r="M62" i="2" s="1"/>
  <c r="N61" i="2" l="1"/>
  <c r="O61" i="2" s="1"/>
  <c r="Q61" i="2" s="1"/>
  <c r="R61" i="2" s="1"/>
  <c r="S61" i="2" s="1"/>
  <c r="D64" i="2"/>
  <c r="L63" i="2"/>
  <c r="M63" i="2" s="1"/>
  <c r="N62" i="2" l="1"/>
  <c r="O62" i="2" s="1"/>
  <c r="Q62" i="2" s="1"/>
  <c r="R62" i="2" s="1"/>
  <c r="S62" i="2" s="1"/>
  <c r="D65" i="2"/>
  <c r="L64" i="2"/>
  <c r="M64" i="2" s="1"/>
  <c r="N63" i="2" l="1"/>
  <c r="O63" i="2" s="1"/>
  <c r="Q63" i="2" s="1"/>
  <c r="R63" i="2" s="1"/>
  <c r="S63" i="2" s="1"/>
  <c r="D66" i="2"/>
  <c r="L65" i="2"/>
  <c r="M65" i="2" s="1"/>
  <c r="N64" i="2" l="1"/>
  <c r="O64" i="2" s="1"/>
  <c r="Q64" i="2" s="1"/>
  <c r="R64" i="2" s="1"/>
  <c r="S64" i="2" s="1"/>
  <c r="D67" i="2"/>
  <c r="L66" i="2"/>
  <c r="M66" i="2" s="1"/>
  <c r="N65" i="2" l="1"/>
  <c r="O65" i="2" s="1"/>
  <c r="Q65" i="2" s="1"/>
  <c r="R65" i="2" s="1"/>
  <c r="S65" i="2" s="1"/>
  <c r="D68" i="2"/>
  <c r="L67" i="2"/>
  <c r="M67" i="2" s="1"/>
  <c r="N66" i="2" l="1"/>
  <c r="O66" i="2" s="1"/>
  <c r="Q66" i="2" s="1"/>
  <c r="R66" i="2" s="1"/>
  <c r="S66" i="2" s="1"/>
  <c r="D69" i="2"/>
  <c r="L68" i="2"/>
  <c r="M68" i="2" s="1"/>
  <c r="N67" i="2" l="1"/>
  <c r="O67" i="2" s="1"/>
  <c r="Q67" i="2" s="1"/>
  <c r="R67" i="2" s="1"/>
  <c r="S67" i="2" s="1"/>
  <c r="D70" i="2"/>
  <c r="L69" i="2"/>
  <c r="M69" i="2" s="1"/>
  <c r="N68" i="2" l="1"/>
  <c r="O68" i="2" s="1"/>
  <c r="Q68" i="2" s="1"/>
  <c r="R68" i="2" s="1"/>
  <c r="S68" i="2" s="1"/>
  <c r="D71" i="2"/>
  <c r="L70" i="2"/>
  <c r="M70" i="2" s="1"/>
  <c r="N69" i="2" l="1"/>
  <c r="O69" i="2" s="1"/>
  <c r="Q69" i="2" s="1"/>
  <c r="R69" i="2" s="1"/>
  <c r="S69" i="2" s="1"/>
  <c r="D72" i="2"/>
  <c r="L71" i="2"/>
  <c r="M71" i="2" s="1"/>
  <c r="N70" i="2" l="1"/>
  <c r="O70" i="2" s="1"/>
  <c r="Q70" i="2" s="1"/>
  <c r="R70" i="2" s="1"/>
  <c r="S70" i="2" s="1"/>
  <c r="D73" i="2"/>
  <c r="L72" i="2"/>
  <c r="M72" i="2" s="1"/>
  <c r="N71" i="2" l="1"/>
  <c r="O71" i="2" s="1"/>
  <c r="Q71" i="2" s="1"/>
  <c r="R71" i="2" s="1"/>
  <c r="S71" i="2" s="1"/>
  <c r="D74" i="2"/>
  <c r="L73" i="2"/>
  <c r="M73" i="2" s="1"/>
  <c r="N72" i="2" l="1"/>
  <c r="O72" i="2" s="1"/>
  <c r="Q72" i="2" s="1"/>
  <c r="R72" i="2" s="1"/>
  <c r="S72" i="2" s="1"/>
  <c r="D75" i="2"/>
  <c r="L75" i="2" s="1"/>
  <c r="M75" i="2" s="1"/>
  <c r="N75" i="2" s="1"/>
  <c r="O75" i="2" s="1"/>
  <c r="Q75" i="2" s="1"/>
  <c r="R75" i="2" s="1"/>
  <c r="S75" i="2" s="1"/>
  <c r="L74" i="2"/>
  <c r="M74" i="2" s="1"/>
  <c r="N74" i="2" l="1"/>
  <c r="O74" i="2" s="1"/>
  <c r="Q74" i="2" s="1"/>
  <c r="R74" i="2" s="1"/>
  <c r="S74" i="2" s="1"/>
  <c r="N73" i="2"/>
  <c r="O73" i="2" s="1"/>
  <c r="Q73" i="2" s="1"/>
  <c r="R73" i="2" s="1"/>
  <c r="S73" i="2" s="1"/>
  <c r="T19" i="2" l="1"/>
  <c r="T20" i="2" s="1"/>
  <c r="U20" i="2"/>
  <c r="T22" i="2"/>
  <c r="T21" i="2"/>
  <c r="U19" i="2"/>
  <c r="T26" i="2" l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U26" i="2" l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U54" i="2" s="1"/>
  <c r="U55" i="2" s="1"/>
  <c r="U56" i="2" s="1"/>
  <c r="U57" i="2" s="1"/>
  <c r="U58" i="2" s="1"/>
  <c r="U59" i="2" s="1"/>
  <c r="U60" i="2" s="1"/>
  <c r="U61" i="2" s="1"/>
  <c r="U62" i="2" s="1"/>
  <c r="U63" i="2" s="1"/>
  <c r="U64" i="2" s="1"/>
  <c r="U65" i="2" s="1"/>
  <c r="U66" i="2" s="1"/>
  <c r="U67" i="2" s="1"/>
  <c r="U68" i="2" s="1"/>
  <c r="U69" i="2" s="1"/>
  <c r="U70" i="2" s="1"/>
  <c r="U71" i="2" s="1"/>
  <c r="U72" i="2" s="1"/>
  <c r="U73" i="2" s="1"/>
  <c r="U74" i="2" s="1"/>
  <c r="U75" i="2" s="1"/>
  <c r="W26" i="2" l="1"/>
  <c r="Y26" i="2" s="1"/>
  <c r="AX26" i="2" s="1"/>
  <c r="D13" i="1" s="1"/>
  <c r="V26" i="2"/>
  <c r="X26" i="2" s="1"/>
  <c r="V27" i="2"/>
  <c r="X27" i="2" s="1"/>
  <c r="BI27" i="2" s="1"/>
  <c r="AC25" i="2" l="1"/>
  <c r="BI26" i="2"/>
  <c r="AA25" i="2"/>
  <c r="Z25" i="2"/>
  <c r="W27" i="2"/>
  <c r="Y27" i="2" s="1"/>
  <c r="AA26" i="2" s="1"/>
  <c r="AW26" i="2"/>
  <c r="C13" i="1" s="1"/>
  <c r="B13" i="1" s="1"/>
  <c r="AB25" i="2"/>
  <c r="W28" i="2"/>
  <c r="Y28" i="2" s="1"/>
  <c r="AC26" i="2"/>
  <c r="AB26" i="2"/>
  <c r="AW27" i="2"/>
  <c r="C14" i="1" s="1"/>
  <c r="Z26" i="2"/>
  <c r="BE26" i="2" l="1"/>
  <c r="AD26" i="2"/>
  <c r="BH26" i="2"/>
  <c r="BH27" i="2" s="1"/>
  <c r="BD26" i="2"/>
  <c r="AH25" i="2"/>
  <c r="AM25" i="2" s="1"/>
  <c r="BD27" i="2"/>
  <c r="BC26" i="2"/>
  <c r="BC27" i="2" s="1"/>
  <c r="AF25" i="2"/>
  <c r="AG25" i="2" s="1"/>
  <c r="AD25" i="2"/>
  <c r="AI25" i="2" s="1"/>
  <c r="AO25" i="2" s="1"/>
  <c r="AP25" i="2" s="1"/>
  <c r="AQ25" i="2" s="1"/>
  <c r="AX27" i="2"/>
  <c r="D14" i="1" s="1"/>
  <c r="AE25" i="2"/>
  <c r="AJ25" i="2" s="1"/>
  <c r="B14" i="1"/>
  <c r="V28" i="2"/>
  <c r="X28" i="2" s="1"/>
  <c r="V29" i="2"/>
  <c r="X29" i="2" s="1"/>
  <c r="BI29" i="2" s="1"/>
  <c r="AH26" i="2"/>
  <c r="AM26" i="2" s="1"/>
  <c r="AF26" i="2"/>
  <c r="AG26" i="2" s="1"/>
  <c r="AE26" i="2"/>
  <c r="AJ26" i="2" s="1"/>
  <c r="AI26" i="2"/>
  <c r="AO26" i="2" s="1"/>
  <c r="AP26" i="2" s="1"/>
  <c r="AQ26" i="2" s="1"/>
  <c r="BE27" i="2"/>
  <c r="AA27" i="2"/>
  <c r="AX28" i="2"/>
  <c r="D15" i="1" s="1"/>
  <c r="AB27" i="2" l="1"/>
  <c r="BI28" i="2"/>
  <c r="BH28" i="2"/>
  <c r="AN25" i="2"/>
  <c r="AV25" i="2" s="1"/>
  <c r="AZ25" i="2" s="1"/>
  <c r="F12" i="1" s="1"/>
  <c r="AK25" i="2"/>
  <c r="AL25" i="2" s="1"/>
  <c r="AT25" i="2"/>
  <c r="AY25" i="2"/>
  <c r="F7" i="1" s="1"/>
  <c r="AR25" i="2"/>
  <c r="AS25" i="2" s="1"/>
  <c r="AU25" i="2"/>
  <c r="W30" i="2"/>
  <c r="Y30" i="2" s="1"/>
  <c r="AW28" i="2"/>
  <c r="C15" i="1" s="1"/>
  <c r="B15" i="1" s="1"/>
  <c r="Z27" i="2"/>
  <c r="W29" i="2"/>
  <c r="Y29" i="2" s="1"/>
  <c r="AA28" i="2" s="1"/>
  <c r="AD28" i="2" s="1"/>
  <c r="AI28" i="2" s="1"/>
  <c r="AO28" i="2" s="1"/>
  <c r="AP28" i="2" s="1"/>
  <c r="AY28" i="2" s="1"/>
  <c r="E15" i="1" s="1"/>
  <c r="AD27" i="2"/>
  <c r="AI27" i="2" s="1"/>
  <c r="AO27" i="2" s="1"/>
  <c r="AP27" i="2" s="1"/>
  <c r="AY27" i="2" s="1"/>
  <c r="E14" i="1" s="1"/>
  <c r="AC27" i="2"/>
  <c r="AH27" i="2" s="1"/>
  <c r="AK26" i="2"/>
  <c r="AL26" i="2" s="1"/>
  <c r="AT26" i="2"/>
  <c r="AU26" i="2"/>
  <c r="AR26" i="2"/>
  <c r="AS26" i="2" s="1"/>
  <c r="AN26" i="2"/>
  <c r="AV26" i="2" s="1"/>
  <c r="AZ26" i="2" s="1"/>
  <c r="F13" i="1" s="1"/>
  <c r="AY26" i="2"/>
  <c r="E13" i="1" s="1"/>
  <c r="V30" i="2"/>
  <c r="X30" i="2" s="1"/>
  <c r="BI30" i="2" s="1"/>
  <c r="BD28" i="2"/>
  <c r="BC28" i="2"/>
  <c r="AF27" i="2"/>
  <c r="AG27" i="2" s="1"/>
  <c r="AW29" i="2"/>
  <c r="C16" i="1" s="1"/>
  <c r="AB28" i="2"/>
  <c r="AC28" i="2"/>
  <c r="Z28" i="2"/>
  <c r="BE28" i="2" l="1"/>
  <c r="BH29" i="2"/>
  <c r="E12" i="1"/>
  <c r="AE27" i="2"/>
  <c r="AJ27" i="2" s="1"/>
  <c r="AT27" i="2"/>
  <c r="V31" i="2"/>
  <c r="X31" i="2" s="1"/>
  <c r="BI31" i="2" s="1"/>
  <c r="B16" i="1"/>
  <c r="AX29" i="2"/>
  <c r="D16" i="1" s="1"/>
  <c r="AQ27" i="2"/>
  <c r="AM27" i="2"/>
  <c r="AR27" i="2"/>
  <c r="AS27" i="2" s="1"/>
  <c r="AU27" i="2"/>
  <c r="AN27" i="2"/>
  <c r="AV27" i="2" s="1"/>
  <c r="AZ27" i="2" s="1"/>
  <c r="F14" i="1" s="1"/>
  <c r="AF28" i="2"/>
  <c r="AG28" i="2" s="1"/>
  <c r="AK27" i="2"/>
  <c r="AL27" i="2" s="1"/>
  <c r="AH28" i="2"/>
  <c r="AM28" i="2" s="1"/>
  <c r="AC29" i="2"/>
  <c r="AB29" i="2"/>
  <c r="AW30" i="2"/>
  <c r="C17" i="1" s="1"/>
  <c r="Z29" i="2"/>
  <c r="AE28" i="2"/>
  <c r="AJ28" i="2" s="1"/>
  <c r="BE29" i="2"/>
  <c r="AN28" i="2"/>
  <c r="AV28" i="2" s="1"/>
  <c r="AZ28" i="2" s="1"/>
  <c r="F15" i="1" s="1"/>
  <c r="AU28" i="2"/>
  <c r="AT28" i="2"/>
  <c r="AR28" i="2"/>
  <c r="AS28" i="2" s="1"/>
  <c r="AQ28" i="2"/>
  <c r="BC29" i="2"/>
  <c r="BD29" i="2"/>
  <c r="AA29" i="2"/>
  <c r="AX30" i="2"/>
  <c r="D17" i="1" s="1"/>
  <c r="BH30" i="2" l="1"/>
  <c r="W31" i="2"/>
  <c r="Y31" i="2" s="1"/>
  <c r="AX31" i="2" s="1"/>
  <c r="D18" i="1" s="1"/>
  <c r="B17" i="1"/>
  <c r="AK28" i="2"/>
  <c r="AL28" i="2" s="1"/>
  <c r="BC30" i="2"/>
  <c r="BD30" i="2"/>
  <c r="AD29" i="2"/>
  <c r="AI29" i="2" s="1"/>
  <c r="AO29" i="2" s="1"/>
  <c r="AP29" i="2" s="1"/>
  <c r="AY29" i="2" s="1"/>
  <c r="E16" i="1" s="1"/>
  <c r="AH29" i="2"/>
  <c r="AM29" i="2" s="1"/>
  <c r="V32" i="2"/>
  <c r="X32" i="2" s="1"/>
  <c r="BI32" i="2" s="1"/>
  <c r="W32" i="2"/>
  <c r="Y32" i="2" s="1"/>
  <c r="AE29" i="2"/>
  <c r="AJ29" i="2" s="1"/>
  <c r="AF29" i="2"/>
  <c r="AG29" i="2" s="1"/>
  <c r="BE30" i="2"/>
  <c r="AC30" i="2"/>
  <c r="AB30" i="2"/>
  <c r="AW31" i="2"/>
  <c r="C18" i="1" s="1"/>
  <c r="Z30" i="2"/>
  <c r="B18" i="1" l="1"/>
  <c r="AA30" i="2"/>
  <c r="AF30" i="2" s="1"/>
  <c r="AG30" i="2" s="1"/>
  <c r="AU29" i="2"/>
  <c r="AR29" i="2"/>
  <c r="AS29" i="2" s="1"/>
  <c r="AN29" i="2"/>
  <c r="AV29" i="2" s="1"/>
  <c r="AZ29" i="2" s="1"/>
  <c r="F16" i="1" s="1"/>
  <c r="AQ29" i="2"/>
  <c r="AT29" i="2"/>
  <c r="BE31" i="2"/>
  <c r="AK29" i="2"/>
  <c r="AL29" i="2" s="1"/>
  <c r="V33" i="2"/>
  <c r="X33" i="2" s="1"/>
  <c r="BI33" i="2" s="1"/>
  <c r="W33" i="2"/>
  <c r="Y33" i="2" s="1"/>
  <c r="AX32" i="2"/>
  <c r="D19" i="1" s="1"/>
  <c r="AA31" i="2"/>
  <c r="AB31" i="2"/>
  <c r="AC31" i="2"/>
  <c r="Z31" i="2"/>
  <c r="AW32" i="2"/>
  <c r="C19" i="1" s="1"/>
  <c r="BH31" i="2" l="1"/>
  <c r="BH32" i="2" s="1"/>
  <c r="AD30" i="2"/>
  <c r="AI30" i="2" s="1"/>
  <c r="AN30" i="2" s="1"/>
  <c r="AV30" i="2" s="1"/>
  <c r="AZ30" i="2" s="1"/>
  <c r="F17" i="1" s="1"/>
  <c r="AE30" i="2"/>
  <c r="AJ30" i="2" s="1"/>
  <c r="B19" i="1"/>
  <c r="BC31" i="2"/>
  <c r="BC32" i="2" s="1"/>
  <c r="BD31" i="2"/>
  <c r="BD32" i="2" s="1"/>
  <c r="AH30" i="2"/>
  <c r="AM30" i="2" s="1"/>
  <c r="AK30" i="2"/>
  <c r="AL30" i="2" s="1"/>
  <c r="AE31" i="2"/>
  <c r="AJ31" i="2" s="1"/>
  <c r="AD31" i="2"/>
  <c r="AI31" i="2" s="1"/>
  <c r="AH31" i="2"/>
  <c r="AM31" i="2" s="1"/>
  <c r="AF31" i="2"/>
  <c r="AG31" i="2" s="1"/>
  <c r="BE32" i="2"/>
  <c r="V34" i="2"/>
  <c r="X34" i="2" s="1"/>
  <c r="BI34" i="2" s="1"/>
  <c r="W34" i="2"/>
  <c r="Y34" i="2" s="1"/>
  <c r="AA32" i="2"/>
  <c r="AD32" i="2" s="1"/>
  <c r="AI32" i="2" s="1"/>
  <c r="AO32" i="2" s="1"/>
  <c r="AP32" i="2" s="1"/>
  <c r="AY32" i="2" s="1"/>
  <c r="E19" i="1" s="1"/>
  <c r="AX33" i="2"/>
  <c r="D20" i="1" s="1"/>
  <c r="AB32" i="2"/>
  <c r="AC32" i="2"/>
  <c r="AW33" i="2"/>
  <c r="C20" i="1" s="1"/>
  <c r="Z32" i="2"/>
  <c r="AO30" i="2"/>
  <c r="AP30" i="2" s="1"/>
  <c r="BH33" i="2" l="1"/>
  <c r="B20" i="1"/>
  <c r="AK31" i="2"/>
  <c r="AL31" i="2" s="1"/>
  <c r="AF32" i="2"/>
  <c r="AG32" i="2" s="1"/>
  <c r="AE32" i="2"/>
  <c r="AJ32" i="2" s="1"/>
  <c r="BE33" i="2"/>
  <c r="AQ32" i="2"/>
  <c r="AU32" i="2"/>
  <c r="BD33" i="2"/>
  <c r="BC33" i="2"/>
  <c r="AX34" i="2"/>
  <c r="D21" i="1" s="1"/>
  <c r="AA33" i="2"/>
  <c r="AD33" i="2" s="1"/>
  <c r="AI33" i="2" s="1"/>
  <c r="AO33" i="2" s="1"/>
  <c r="AP33" i="2" s="1"/>
  <c r="AY33" i="2" s="1"/>
  <c r="E20" i="1" s="1"/>
  <c r="AO31" i="2"/>
  <c r="AP31" i="2" s="1"/>
  <c r="AN31" i="2"/>
  <c r="AY30" i="2"/>
  <c r="E17" i="1" s="1"/>
  <c r="AU30" i="2"/>
  <c r="AQ30" i="2"/>
  <c r="AR30" i="2"/>
  <c r="AS30" i="2" s="1"/>
  <c r="AT30" i="2"/>
  <c r="AR32" i="2"/>
  <c r="AS32" i="2" s="1"/>
  <c r="AT32" i="2"/>
  <c r="AH32" i="2"/>
  <c r="AM32" i="2" s="1"/>
  <c r="V35" i="2"/>
  <c r="X35" i="2" s="1"/>
  <c r="BI35" i="2" s="1"/>
  <c r="W35" i="2"/>
  <c r="Y35" i="2" s="1"/>
  <c r="AC33" i="2"/>
  <c r="AB33" i="2"/>
  <c r="AW34" i="2"/>
  <c r="C21" i="1" s="1"/>
  <c r="Z33" i="2"/>
  <c r="AN32" i="2"/>
  <c r="AV32" i="2" s="1"/>
  <c r="AZ32" i="2" s="1"/>
  <c r="F19" i="1" s="1"/>
  <c r="BH34" i="2" l="1"/>
  <c r="B21" i="1"/>
  <c r="AK32" i="2"/>
  <c r="AL32" i="2" s="1"/>
  <c r="AF33" i="2"/>
  <c r="AG33" i="2" s="1"/>
  <c r="AE33" i="2"/>
  <c r="AJ33" i="2" s="1"/>
  <c r="AH33" i="2"/>
  <c r="AM33" i="2" s="1"/>
  <c r="AA34" i="2"/>
  <c r="AD34" i="2" s="1"/>
  <c r="AI34" i="2" s="1"/>
  <c r="AO34" i="2" s="1"/>
  <c r="AP34" i="2" s="1"/>
  <c r="AX35" i="2"/>
  <c r="D22" i="1" s="1"/>
  <c r="BD34" i="2"/>
  <c r="BC34" i="2"/>
  <c r="BE34" i="2"/>
  <c r="AT33" i="2"/>
  <c r="AR33" i="2"/>
  <c r="AS33" i="2" s="1"/>
  <c r="AQ33" i="2"/>
  <c r="AU33" i="2"/>
  <c r="AN33" i="2"/>
  <c r="AV33" i="2" s="1"/>
  <c r="AZ33" i="2" s="1"/>
  <c r="F20" i="1" s="1"/>
  <c r="V36" i="2"/>
  <c r="X36" i="2" s="1"/>
  <c r="BI36" i="2" s="1"/>
  <c r="W36" i="2"/>
  <c r="Y36" i="2" s="1"/>
  <c r="AC34" i="2"/>
  <c r="AB34" i="2"/>
  <c r="AW35" i="2"/>
  <c r="C22" i="1" s="1"/>
  <c r="Z34" i="2"/>
  <c r="AR31" i="2"/>
  <c r="AS31" i="2" s="1"/>
  <c r="AY31" i="2"/>
  <c r="E18" i="1" s="1"/>
  <c r="AT31" i="2"/>
  <c r="AQ31" i="2"/>
  <c r="AU31" i="2"/>
  <c r="AV31" i="2" s="1"/>
  <c r="AZ31" i="2" s="1"/>
  <c r="F18" i="1" s="1"/>
  <c r="BH35" i="2" l="1"/>
  <c r="B22" i="1"/>
  <c r="AK33" i="2"/>
  <c r="AL33" i="2" s="1"/>
  <c r="AE34" i="2"/>
  <c r="AJ34" i="2" s="1"/>
  <c r="AH34" i="2"/>
  <c r="AM34" i="2" s="1"/>
  <c r="AF34" i="2"/>
  <c r="AG34" i="2" s="1"/>
  <c r="AQ34" i="2"/>
  <c r="AY34" i="2"/>
  <c r="E21" i="1" s="1"/>
  <c r="AU34" i="2"/>
  <c r="AR34" i="2"/>
  <c r="AS34" i="2" s="1"/>
  <c r="AT34" i="2"/>
  <c r="BE35" i="2"/>
  <c r="AN34" i="2"/>
  <c r="AV34" i="2" s="1"/>
  <c r="AZ34" i="2" s="1"/>
  <c r="F21" i="1" s="1"/>
  <c r="V37" i="2"/>
  <c r="X37" i="2" s="1"/>
  <c r="BI37" i="2" s="1"/>
  <c r="W37" i="2"/>
  <c r="Y37" i="2" s="1"/>
  <c r="AW36" i="2"/>
  <c r="C23" i="1" s="1"/>
  <c r="B23" i="1" s="1"/>
  <c r="Z35" i="2"/>
  <c r="AC35" i="2"/>
  <c r="AB35" i="2"/>
  <c r="AA35" i="2"/>
  <c r="AX36" i="2"/>
  <c r="D23" i="1" s="1"/>
  <c r="BC35" i="2"/>
  <c r="BD35" i="2"/>
  <c r="BH36" i="2" l="1"/>
  <c r="AK34" i="2"/>
  <c r="AL34" i="2" s="1"/>
  <c r="AF35" i="2"/>
  <c r="AG35" i="2" s="1"/>
  <c r="BE36" i="2"/>
  <c r="AX37" i="2"/>
  <c r="D24" i="1" s="1"/>
  <c r="AA36" i="2"/>
  <c r="AD35" i="2"/>
  <c r="AI35" i="2" s="1"/>
  <c r="BC36" i="2"/>
  <c r="BD36" i="2"/>
  <c r="AE35" i="2"/>
  <c r="AJ35" i="2" s="1"/>
  <c r="AH35" i="2"/>
  <c r="AM35" i="2" s="1"/>
  <c r="V38" i="2"/>
  <c r="X38" i="2" s="1"/>
  <c r="BI38" i="2" s="1"/>
  <c r="W38" i="2"/>
  <c r="Y38" i="2" s="1"/>
  <c r="AW37" i="2"/>
  <c r="C24" i="1" s="1"/>
  <c r="B24" i="1" s="1"/>
  <c r="Z36" i="2"/>
  <c r="AC36" i="2"/>
  <c r="AB36" i="2"/>
  <c r="BH37" i="2" l="1"/>
  <c r="BE37" i="2"/>
  <c r="AK35" i="2"/>
  <c r="AL35" i="2" s="1"/>
  <c r="AF36" i="2"/>
  <c r="AK36" i="2" s="1"/>
  <c r="AL36" i="2" s="1"/>
  <c r="AH36" i="2"/>
  <c r="AM36" i="2" s="1"/>
  <c r="AE36" i="2"/>
  <c r="AJ36" i="2" s="1"/>
  <c r="AA37" i="2"/>
  <c r="AD37" i="2" s="1"/>
  <c r="AX38" i="2"/>
  <c r="D25" i="1" s="1"/>
  <c r="AD36" i="2"/>
  <c r="AI36" i="2" s="1"/>
  <c r="AN36" i="2" s="1"/>
  <c r="AV36" i="2" s="1"/>
  <c r="AZ36" i="2" s="1"/>
  <c r="F23" i="1" s="1"/>
  <c r="BD37" i="2"/>
  <c r="BC37" i="2"/>
  <c r="V39" i="2"/>
  <c r="X39" i="2" s="1"/>
  <c r="BI39" i="2" s="1"/>
  <c r="W39" i="2"/>
  <c r="Y39" i="2" s="1"/>
  <c r="AW38" i="2"/>
  <c r="C25" i="1" s="1"/>
  <c r="B25" i="1" s="1"/>
  <c r="AC37" i="2"/>
  <c r="Z37" i="2"/>
  <c r="AB37" i="2"/>
  <c r="AO35" i="2"/>
  <c r="AP35" i="2" s="1"/>
  <c r="AN35" i="2"/>
  <c r="AV35" i="2" s="1"/>
  <c r="AZ35" i="2" s="1"/>
  <c r="F22" i="1" s="1"/>
  <c r="BH38" i="2" l="1"/>
  <c r="AG36" i="2"/>
  <c r="AH37" i="2"/>
  <c r="AM37" i="2" s="1"/>
  <c r="AF37" i="2"/>
  <c r="AG37" i="2" s="1"/>
  <c r="AE37" i="2"/>
  <c r="AJ37" i="2" s="1"/>
  <c r="AI37" i="2"/>
  <c r="AO37" i="2" s="1"/>
  <c r="AP37" i="2" s="1"/>
  <c r="AY37" i="2" s="1"/>
  <c r="E24" i="1" s="1"/>
  <c r="BE38" i="2"/>
  <c r="V40" i="2"/>
  <c r="X40" i="2" s="1"/>
  <c r="BI40" i="2" s="1"/>
  <c r="W40" i="2"/>
  <c r="Y40" i="2" s="1"/>
  <c r="AW39" i="2"/>
  <c r="C26" i="1" s="1"/>
  <c r="B26" i="1" s="1"/>
  <c r="Z38" i="2"/>
  <c r="AB38" i="2"/>
  <c r="AC38" i="2"/>
  <c r="AO36" i="2"/>
  <c r="AP36" i="2" s="1"/>
  <c r="AY35" i="2"/>
  <c r="E22" i="1" s="1"/>
  <c r="AQ35" i="2"/>
  <c r="AT35" i="2"/>
  <c r="AR35" i="2"/>
  <c r="AS35" i="2" s="1"/>
  <c r="AU35" i="2"/>
  <c r="AA38" i="2"/>
  <c r="AX39" i="2"/>
  <c r="D26" i="1" s="1"/>
  <c r="BD38" i="2"/>
  <c r="BC38" i="2"/>
  <c r="BH39" i="2" l="1"/>
  <c r="AQ37" i="2"/>
  <c r="AU37" i="2"/>
  <c r="AK37" i="2"/>
  <c r="AL37" i="2" s="1"/>
  <c r="AN37" i="2"/>
  <c r="AV37" i="2" s="1"/>
  <c r="AZ37" i="2" s="1"/>
  <c r="F24" i="1" s="1"/>
  <c r="AT37" i="2"/>
  <c r="AR37" i="2"/>
  <c r="AS37" i="2" s="1"/>
  <c r="AU36" i="2"/>
  <c r="AR36" i="2"/>
  <c r="AS36" i="2" s="1"/>
  <c r="AT36" i="2"/>
  <c r="AF38" i="2"/>
  <c r="AG38" i="2" s="1"/>
  <c r="AH38" i="2"/>
  <c r="AM38" i="2" s="1"/>
  <c r="AE38" i="2"/>
  <c r="AJ38" i="2" s="1"/>
  <c r="BE39" i="2"/>
  <c r="AY36" i="2"/>
  <c r="E23" i="1" s="1"/>
  <c r="AQ36" i="2"/>
  <c r="AD38" i="2"/>
  <c r="AI38" i="2" s="1"/>
  <c r="AO38" i="2" s="1"/>
  <c r="AP38" i="2" s="1"/>
  <c r="AU38" i="2" s="1"/>
  <c r="BC39" i="2"/>
  <c r="BD39" i="2"/>
  <c r="V41" i="2"/>
  <c r="X41" i="2" s="1"/>
  <c r="BI41" i="2" s="1"/>
  <c r="W41" i="2"/>
  <c r="Y41" i="2" s="1"/>
  <c r="AX40" i="2"/>
  <c r="D27" i="1" s="1"/>
  <c r="AA39" i="2"/>
  <c r="AD39" i="2" s="1"/>
  <c r="AB39" i="2"/>
  <c r="AW40" i="2"/>
  <c r="C27" i="1" s="1"/>
  <c r="B27" i="1" s="1"/>
  <c r="AC39" i="2"/>
  <c r="Z39" i="2"/>
  <c r="BH40" i="2" l="1"/>
  <c r="AF39" i="2"/>
  <c r="AG39" i="2" s="1"/>
  <c r="AH39" i="2"/>
  <c r="AM39" i="2" s="1"/>
  <c r="AE39" i="2"/>
  <c r="AJ39" i="2" s="1"/>
  <c r="AK38" i="2"/>
  <c r="AL38" i="2" s="1"/>
  <c r="AI39" i="2"/>
  <c r="AO39" i="2" s="1"/>
  <c r="AP39" i="2" s="1"/>
  <c r="AY39" i="2" s="1"/>
  <c r="E26" i="1" s="1"/>
  <c r="AR38" i="2"/>
  <c r="AS38" i="2" s="1"/>
  <c r="BE40" i="2"/>
  <c r="AT38" i="2"/>
  <c r="AN38" i="2"/>
  <c r="AV38" i="2" s="1"/>
  <c r="AZ38" i="2" s="1"/>
  <c r="F25" i="1" s="1"/>
  <c r="BC40" i="2"/>
  <c r="BD40" i="2"/>
  <c r="V42" i="2"/>
  <c r="X42" i="2" s="1"/>
  <c r="BI42" i="2" s="1"/>
  <c r="W42" i="2"/>
  <c r="Y42" i="2" s="1"/>
  <c r="AC40" i="2"/>
  <c r="AB40" i="2"/>
  <c r="AW41" i="2"/>
  <c r="C28" i="1" s="1"/>
  <c r="B28" i="1" s="1"/>
  <c r="Z40" i="2"/>
  <c r="AX41" i="2"/>
  <c r="D28" i="1" s="1"/>
  <c r="AA40" i="2"/>
  <c r="AQ38" i="2"/>
  <c r="AY38" i="2"/>
  <c r="E25" i="1" s="1"/>
  <c r="BH41" i="2" l="1"/>
  <c r="AK39" i="2"/>
  <c r="AL39" i="2" s="1"/>
  <c r="AQ39" i="2"/>
  <c r="AR39" i="2"/>
  <c r="AS39" i="2" s="1"/>
  <c r="AT39" i="2"/>
  <c r="AF40" i="2"/>
  <c r="AG40" i="2" s="1"/>
  <c r="AU39" i="2"/>
  <c r="AN39" i="2"/>
  <c r="AV39" i="2" s="1"/>
  <c r="AZ39" i="2" s="1"/>
  <c r="F26" i="1" s="1"/>
  <c r="AH40" i="2"/>
  <c r="AM40" i="2" s="1"/>
  <c r="AE40" i="2"/>
  <c r="AJ40" i="2" s="1"/>
  <c r="AD40" i="2"/>
  <c r="AI40" i="2" s="1"/>
  <c r="AO40" i="2" s="1"/>
  <c r="AP40" i="2" s="1"/>
  <c r="AU40" i="2" s="1"/>
  <c r="BE41" i="2"/>
  <c r="V43" i="2"/>
  <c r="X43" i="2" s="1"/>
  <c r="BI43" i="2" s="1"/>
  <c r="W43" i="2"/>
  <c r="Y43" i="2" s="1"/>
  <c r="BD41" i="2"/>
  <c r="BC41" i="2"/>
  <c r="AX42" i="2"/>
  <c r="D29" i="1" s="1"/>
  <c r="AA41" i="2"/>
  <c r="AD41" i="2" s="1"/>
  <c r="Z41" i="2"/>
  <c r="AC41" i="2"/>
  <c r="AW42" i="2"/>
  <c r="C29" i="1" s="1"/>
  <c r="B29" i="1" s="1"/>
  <c r="AB41" i="2"/>
  <c r="BH42" i="2" l="1"/>
  <c r="AK40" i="2"/>
  <c r="AL40" i="2" s="1"/>
  <c r="AF41" i="2"/>
  <c r="AG41" i="2" s="1"/>
  <c r="AH41" i="2"/>
  <c r="AM41" i="2" s="1"/>
  <c r="AI41" i="2"/>
  <c r="AO41" i="2" s="1"/>
  <c r="AP41" i="2" s="1"/>
  <c r="AY41" i="2" s="1"/>
  <c r="E28" i="1" s="1"/>
  <c r="AE41" i="2"/>
  <c r="AJ41" i="2" s="1"/>
  <c r="BE42" i="2"/>
  <c r="AR40" i="2"/>
  <c r="AS40" i="2" s="1"/>
  <c r="AQ40" i="2"/>
  <c r="AN40" i="2"/>
  <c r="AV40" i="2" s="1"/>
  <c r="AZ40" i="2" s="1"/>
  <c r="F27" i="1" s="1"/>
  <c r="BD42" i="2"/>
  <c r="BC42" i="2"/>
  <c r="AT40" i="2"/>
  <c r="AY40" i="2"/>
  <c r="E27" i="1" s="1"/>
  <c r="AX43" i="2"/>
  <c r="D30" i="1" s="1"/>
  <c r="AA42" i="2"/>
  <c r="AD42" i="2" s="1"/>
  <c r="V44" i="2"/>
  <c r="X44" i="2" s="1"/>
  <c r="BI44" i="2" s="1"/>
  <c r="W44" i="2"/>
  <c r="Y44" i="2" s="1"/>
  <c r="AW43" i="2"/>
  <c r="C30" i="1" s="1"/>
  <c r="B30" i="1" s="1"/>
  <c r="Z42" i="2"/>
  <c r="AC42" i="2"/>
  <c r="AB42" i="2"/>
  <c r="BH43" i="2" l="1"/>
  <c r="AN41" i="2"/>
  <c r="AV41" i="2" s="1"/>
  <c r="AZ41" i="2" s="1"/>
  <c r="F28" i="1" s="1"/>
  <c r="AK41" i="2"/>
  <c r="AL41" i="2" s="1"/>
  <c r="AE42" i="2"/>
  <c r="AJ42" i="2" s="1"/>
  <c r="AT41" i="2"/>
  <c r="AH42" i="2"/>
  <c r="AM42" i="2" s="1"/>
  <c r="AQ41" i="2"/>
  <c r="AF42" i="2"/>
  <c r="AG42" i="2" s="1"/>
  <c r="AU41" i="2"/>
  <c r="AR41" i="2"/>
  <c r="AS41" i="2" s="1"/>
  <c r="AI42" i="2"/>
  <c r="AO42" i="2" s="1"/>
  <c r="AP42" i="2" s="1"/>
  <c r="BE43" i="2"/>
  <c r="V45" i="2"/>
  <c r="X45" i="2" s="1"/>
  <c r="BI45" i="2" s="1"/>
  <c r="W45" i="2"/>
  <c r="Y45" i="2" s="1"/>
  <c r="BD43" i="2"/>
  <c r="BC43" i="2"/>
  <c r="AX44" i="2"/>
  <c r="D31" i="1" s="1"/>
  <c r="AA43" i="2"/>
  <c r="AB43" i="2"/>
  <c r="Z43" i="2"/>
  <c r="AC43" i="2"/>
  <c r="AW44" i="2"/>
  <c r="C31" i="1" s="1"/>
  <c r="B31" i="1" s="1"/>
  <c r="BH44" i="2" l="1"/>
  <c r="AF43" i="2"/>
  <c r="AG43" i="2" s="1"/>
  <c r="AD43" i="2"/>
  <c r="AI43" i="2" s="1"/>
  <c r="AO43" i="2" s="1"/>
  <c r="AP43" i="2" s="1"/>
  <c r="AY43" i="2" s="1"/>
  <c r="E30" i="1" s="1"/>
  <c r="AH43" i="2"/>
  <c r="AM43" i="2" s="1"/>
  <c r="AE43" i="2"/>
  <c r="AJ43" i="2" s="1"/>
  <c r="AN42" i="2"/>
  <c r="AV42" i="2" s="1"/>
  <c r="AZ42" i="2" s="1"/>
  <c r="F29" i="1" s="1"/>
  <c r="AK42" i="2"/>
  <c r="AL42" i="2" s="1"/>
  <c r="AY42" i="2"/>
  <c r="E29" i="1" s="1"/>
  <c r="AT42" i="2"/>
  <c r="AQ42" i="2"/>
  <c r="AR42" i="2"/>
  <c r="AS42" i="2" s="1"/>
  <c r="AU42" i="2"/>
  <c r="BE44" i="2"/>
  <c r="AX45" i="2"/>
  <c r="D32" i="1" s="1"/>
  <c r="AA44" i="2"/>
  <c r="BC44" i="2"/>
  <c r="BD44" i="2"/>
  <c r="V46" i="2"/>
  <c r="X46" i="2" s="1"/>
  <c r="BI46" i="2" s="1"/>
  <c r="W46" i="2"/>
  <c r="Y46" i="2" s="1"/>
  <c r="AB44" i="2"/>
  <c r="Z44" i="2"/>
  <c r="AW45" i="2"/>
  <c r="C32" i="1" s="1"/>
  <c r="B32" i="1" s="1"/>
  <c r="AC44" i="2"/>
  <c r="BH45" i="2" l="1"/>
  <c r="AH44" i="2"/>
  <c r="AM44" i="2" s="1"/>
  <c r="AF44" i="2"/>
  <c r="AG44" i="2" s="1"/>
  <c r="AK43" i="2"/>
  <c r="AL43" i="2" s="1"/>
  <c r="AQ43" i="2"/>
  <c r="AT43" i="2"/>
  <c r="AU43" i="2"/>
  <c r="AR43" i="2"/>
  <c r="AS43" i="2" s="1"/>
  <c r="AN43" i="2"/>
  <c r="AV43" i="2" s="1"/>
  <c r="AZ43" i="2" s="1"/>
  <c r="F30" i="1" s="1"/>
  <c r="BE45" i="2"/>
  <c r="AE44" i="2"/>
  <c r="AJ44" i="2" s="1"/>
  <c r="V47" i="2"/>
  <c r="X47" i="2" s="1"/>
  <c r="BI47" i="2" s="1"/>
  <c r="W47" i="2"/>
  <c r="Y47" i="2" s="1"/>
  <c r="AD44" i="2"/>
  <c r="AI44" i="2" s="1"/>
  <c r="AO44" i="2" s="1"/>
  <c r="AP44" i="2" s="1"/>
  <c r="AY44" i="2" s="1"/>
  <c r="E31" i="1" s="1"/>
  <c r="BD45" i="2"/>
  <c r="BC45" i="2"/>
  <c r="AX46" i="2"/>
  <c r="D33" i="1" s="1"/>
  <c r="AA45" i="2"/>
  <c r="AW46" i="2"/>
  <c r="C33" i="1" s="1"/>
  <c r="B33" i="1" s="1"/>
  <c r="Z45" i="2"/>
  <c r="AB45" i="2"/>
  <c r="AC45" i="2"/>
  <c r="AD45" i="2"/>
  <c r="AH45" i="2"/>
  <c r="AM45" i="2" s="1"/>
  <c r="AF45" i="2"/>
  <c r="AG45" i="2" s="1"/>
  <c r="AT45" i="2"/>
  <c r="AK45" i="2"/>
  <c r="AL45" i="2" s="1"/>
  <c r="AR45" i="2"/>
  <c r="AS45" i="2" s="1"/>
  <c r="AE45" i="2"/>
  <c r="AJ45" i="2" s="1"/>
  <c r="BH46" i="2" l="1"/>
  <c r="AK44" i="2"/>
  <c r="AL44" i="2" s="1"/>
  <c r="BE46" i="2"/>
  <c r="AN44" i="2"/>
  <c r="AV44" i="2" s="1"/>
  <c r="AZ44" i="2" s="1"/>
  <c r="F31" i="1" s="1"/>
  <c r="AU44" i="2"/>
  <c r="AQ44" i="2"/>
  <c r="AT44" i="2"/>
  <c r="AR44" i="2"/>
  <c r="AS44" i="2" s="1"/>
  <c r="AU45" i="2"/>
  <c r="BD46" i="2"/>
  <c r="AI45" i="2"/>
  <c r="BC46" i="2"/>
  <c r="V48" i="2"/>
  <c r="X48" i="2" s="1"/>
  <c r="BI48" i="2" s="1"/>
  <c r="W48" i="2"/>
  <c r="Y48" i="2" s="1"/>
  <c r="AA46" i="2"/>
  <c r="AX47" i="2"/>
  <c r="D34" i="1" s="1"/>
  <c r="AC46" i="2"/>
  <c r="AB46" i="2"/>
  <c r="Z46" i="2"/>
  <c r="AW47" i="2"/>
  <c r="C34" i="1" s="1"/>
  <c r="B34" i="1" s="1"/>
  <c r="AT46" i="2"/>
  <c r="AK46" i="2"/>
  <c r="AL46" i="2" s="1"/>
  <c r="AF46" i="2"/>
  <c r="AG46" i="2" s="1"/>
  <c r="AD46" i="2"/>
  <c r="AU46" i="2"/>
  <c r="AH46" i="2"/>
  <c r="AM46" i="2" s="1"/>
  <c r="AN46" i="2"/>
  <c r="AV46" i="2" s="1"/>
  <c r="AZ46" i="2" s="1"/>
  <c r="F33" i="1" s="1"/>
  <c r="BH47" i="2" l="1"/>
  <c r="AR46" i="2"/>
  <c r="AS46" i="2" s="1"/>
  <c r="AE46" i="2"/>
  <c r="AJ46" i="2" s="1"/>
  <c r="BE47" i="2"/>
  <c r="AI46" i="2"/>
  <c r="AO46" i="2" s="1"/>
  <c r="AP46" i="2" s="1"/>
  <c r="AY46" i="2" s="1"/>
  <c r="E33" i="1" s="1"/>
  <c r="BD47" i="2"/>
  <c r="BC47" i="2"/>
  <c r="V49" i="2"/>
  <c r="X49" i="2" s="1"/>
  <c r="BI49" i="2" s="1"/>
  <c r="W49" i="2"/>
  <c r="Y49" i="2" s="1"/>
  <c r="AA47" i="2"/>
  <c r="AX48" i="2"/>
  <c r="D35" i="1" s="1"/>
  <c r="AB47" i="2"/>
  <c r="Z47" i="2"/>
  <c r="AK47" i="2"/>
  <c r="AL47" i="2" s="1"/>
  <c r="AW48" i="2"/>
  <c r="C35" i="1" s="1"/>
  <c r="B35" i="1" s="1"/>
  <c r="AC47" i="2"/>
  <c r="AH47" i="2" s="1"/>
  <c r="AM47" i="2" s="1"/>
  <c r="AD47" i="2"/>
  <c r="AF47" i="2"/>
  <c r="AG47" i="2" s="1"/>
  <c r="AR47" i="2"/>
  <c r="AS47" i="2" s="1"/>
  <c r="AE47" i="2"/>
  <c r="AJ47" i="2" s="1"/>
  <c r="AU47" i="2"/>
  <c r="AT47" i="2"/>
  <c r="AN47" i="2"/>
  <c r="AV47" i="2" s="1"/>
  <c r="AZ47" i="2" s="1"/>
  <c r="F34" i="1" s="1"/>
  <c r="AN45" i="2"/>
  <c r="AV45" i="2" s="1"/>
  <c r="AZ45" i="2" s="1"/>
  <c r="F32" i="1" s="1"/>
  <c r="AO45" i="2"/>
  <c r="AP45" i="2" s="1"/>
  <c r="BH48" i="2" l="1"/>
  <c r="BE48" i="2"/>
  <c r="AY45" i="2"/>
  <c r="E32" i="1" s="1"/>
  <c r="AQ45" i="2"/>
  <c r="AQ46" i="2"/>
  <c r="AI47" i="2"/>
  <c r="AO47" i="2" s="1"/>
  <c r="AP47" i="2" s="1"/>
  <c r="AY47" i="2" s="1"/>
  <c r="E34" i="1" s="1"/>
  <c r="BD48" i="2"/>
  <c r="BC48" i="2"/>
  <c r="AX49" i="2"/>
  <c r="D36" i="1" s="1"/>
  <c r="AA48" i="2"/>
  <c r="V50" i="2"/>
  <c r="X50" i="2" s="1"/>
  <c r="BI50" i="2" s="1"/>
  <c r="W50" i="2"/>
  <c r="Y50" i="2" s="1"/>
  <c r="AB48" i="2"/>
  <c r="AW49" i="2"/>
  <c r="C36" i="1" s="1"/>
  <c r="B36" i="1" s="1"/>
  <c r="Z48" i="2"/>
  <c r="AC48" i="2"/>
  <c r="AT48" i="2"/>
  <c r="AR48" i="2"/>
  <c r="AS48" i="2" s="1"/>
  <c r="AU48" i="2"/>
  <c r="AK48" i="2"/>
  <c r="AL48" i="2" s="1"/>
  <c r="AD48" i="2"/>
  <c r="AF48" i="2"/>
  <c r="AG48" i="2" s="1"/>
  <c r="AH48" i="2"/>
  <c r="AM48" i="2" s="1"/>
  <c r="BH49" i="2" l="1"/>
  <c r="BE49" i="2"/>
  <c r="AN48" i="2"/>
  <c r="AV48" i="2" s="1"/>
  <c r="AZ48" i="2" s="1"/>
  <c r="F35" i="1" s="1"/>
  <c r="AQ47" i="2"/>
  <c r="V51" i="2"/>
  <c r="X51" i="2" s="1"/>
  <c r="BI51" i="2" s="1"/>
  <c r="W51" i="2"/>
  <c r="Y51" i="2" s="1"/>
  <c r="AC49" i="2"/>
  <c r="Z49" i="2"/>
  <c r="AB49" i="2"/>
  <c r="AW50" i="2"/>
  <c r="C37" i="1" s="1"/>
  <c r="B37" i="1" s="1"/>
  <c r="AD49" i="2"/>
  <c r="AT49" i="2"/>
  <c r="AA49" i="2"/>
  <c r="AH49" i="2" s="1"/>
  <c r="AM49" i="2" s="1"/>
  <c r="AX50" i="2"/>
  <c r="D37" i="1" s="1"/>
  <c r="AE48" i="2"/>
  <c r="AJ48" i="2" s="1"/>
  <c r="BC49" i="2"/>
  <c r="AI48" i="2"/>
  <c r="AO48" i="2" s="1"/>
  <c r="AP48" i="2" s="1"/>
  <c r="BD49" i="2"/>
  <c r="BH50" i="2" l="1"/>
  <c r="BE50" i="2"/>
  <c r="AK49" i="2"/>
  <c r="AL49" i="2" s="1"/>
  <c r="AU49" i="2"/>
  <c r="AY48" i="2"/>
  <c r="E35" i="1" s="1"/>
  <c r="AQ48" i="2"/>
  <c r="AF49" i="2"/>
  <c r="AG49" i="2" s="1"/>
  <c r="AR49" i="2"/>
  <c r="AS49" i="2" s="1"/>
  <c r="AN49" i="2"/>
  <c r="AV49" i="2" s="1"/>
  <c r="AZ49" i="2" s="1"/>
  <c r="F36" i="1" s="1"/>
  <c r="AI49" i="2"/>
  <c r="AO49" i="2" s="1"/>
  <c r="AP49" i="2" s="1"/>
  <c r="V52" i="2"/>
  <c r="X52" i="2" s="1"/>
  <c r="BI52" i="2" s="1"/>
  <c r="W52" i="2"/>
  <c r="Y52" i="2" s="1"/>
  <c r="AE49" i="2"/>
  <c r="AJ49" i="2" s="1"/>
  <c r="BD50" i="2"/>
  <c r="BC50" i="2"/>
  <c r="AA50" i="2"/>
  <c r="AX51" i="2"/>
  <c r="D38" i="1" s="1"/>
  <c r="Z50" i="2"/>
  <c r="BE51" i="2" s="1"/>
  <c r="AC50" i="2"/>
  <c r="AR50" i="2"/>
  <c r="AS50" i="2" s="1"/>
  <c r="AW51" i="2"/>
  <c r="C38" i="1" s="1"/>
  <c r="B38" i="1" s="1"/>
  <c r="AB50" i="2"/>
  <c r="AD50" i="2"/>
  <c r="AU50" i="2"/>
  <c r="AT50" i="2"/>
  <c r="AK50" i="2"/>
  <c r="AL50" i="2" s="1"/>
  <c r="AF50" i="2"/>
  <c r="AG50" i="2" s="1"/>
  <c r="AH50" i="2"/>
  <c r="AM50" i="2" s="1"/>
  <c r="AE50" i="2"/>
  <c r="AJ50" i="2" s="1"/>
  <c r="BH51" i="2" l="1"/>
  <c r="AY49" i="2"/>
  <c r="E36" i="1" s="1"/>
  <c r="AQ49" i="2"/>
  <c r="AN50" i="2"/>
  <c r="AV50" i="2" s="1"/>
  <c r="AZ50" i="2" s="1"/>
  <c r="F37" i="1" s="1"/>
  <c r="BC51" i="2"/>
  <c r="BD51" i="2"/>
  <c r="AI50" i="2"/>
  <c r="AO50" i="2" s="1"/>
  <c r="AP50" i="2" s="1"/>
  <c r="V53" i="2"/>
  <c r="X53" i="2" s="1"/>
  <c r="BI53" i="2" s="1"/>
  <c r="W53" i="2"/>
  <c r="Y53" i="2" s="1"/>
  <c r="AC51" i="2"/>
  <c r="AB51" i="2"/>
  <c r="AW52" i="2"/>
  <c r="C39" i="1" s="1"/>
  <c r="B39" i="1" s="1"/>
  <c r="Z51" i="2"/>
  <c r="BE52" i="2" s="1"/>
  <c r="AD51" i="2"/>
  <c r="AA51" i="2"/>
  <c r="AF51" i="2" s="1"/>
  <c r="AG51" i="2" s="1"/>
  <c r="AX52" i="2"/>
  <c r="D39" i="1" s="1"/>
  <c r="BH52" i="2" l="1"/>
  <c r="AT51" i="2"/>
  <c r="AR51" i="2"/>
  <c r="AS51" i="2" s="1"/>
  <c r="AU51" i="2"/>
  <c r="AK51" i="2"/>
  <c r="AL51" i="2" s="1"/>
  <c r="AH51" i="2"/>
  <c r="AM51" i="2" s="1"/>
  <c r="AY50" i="2"/>
  <c r="E37" i="1" s="1"/>
  <c r="AQ50" i="2"/>
  <c r="AN51" i="2"/>
  <c r="AV51" i="2" s="1"/>
  <c r="AZ51" i="2" s="1"/>
  <c r="F38" i="1" s="1"/>
  <c r="AX53" i="2"/>
  <c r="D40" i="1" s="1"/>
  <c r="AA52" i="2"/>
  <c r="AW53" i="2"/>
  <c r="C40" i="1" s="1"/>
  <c r="B40" i="1" s="1"/>
  <c r="AB52" i="2"/>
  <c r="Z52" i="2"/>
  <c r="BE53" i="2" s="1"/>
  <c r="AC52" i="2"/>
  <c r="AU52" i="2"/>
  <c r="AE52" i="2"/>
  <c r="AJ52" i="2" s="1"/>
  <c r="AR52" i="2"/>
  <c r="AS52" i="2" s="1"/>
  <c r="AH52" i="2"/>
  <c r="AM52" i="2" s="1"/>
  <c r="AF52" i="2"/>
  <c r="AG52" i="2" s="1"/>
  <c r="AT52" i="2"/>
  <c r="AK52" i="2"/>
  <c r="AL52" i="2" s="1"/>
  <c r="AD52" i="2"/>
  <c r="AN52" i="2"/>
  <c r="AV52" i="2" s="1"/>
  <c r="AZ52" i="2" s="1"/>
  <c r="F39" i="1" s="1"/>
  <c r="AE51" i="2"/>
  <c r="AJ51" i="2" s="1"/>
  <c r="BC52" i="2"/>
  <c r="BD52" i="2"/>
  <c r="AI51" i="2"/>
  <c r="AO51" i="2" s="1"/>
  <c r="AP51" i="2" s="1"/>
  <c r="V54" i="2"/>
  <c r="X54" i="2" s="1"/>
  <c r="BI54" i="2" s="1"/>
  <c r="W54" i="2"/>
  <c r="Y54" i="2" s="1"/>
  <c r="BH53" i="2" l="1"/>
  <c r="AI52" i="2"/>
  <c r="AO52" i="2" s="1"/>
  <c r="AP52" i="2" s="1"/>
  <c r="AY52" i="2" s="1"/>
  <c r="E39" i="1" s="1"/>
  <c r="AX54" i="2"/>
  <c r="D41" i="1" s="1"/>
  <c r="AA53" i="2"/>
  <c r="Z53" i="2"/>
  <c r="BE54" i="2" s="1"/>
  <c r="AC53" i="2"/>
  <c r="AW54" i="2"/>
  <c r="C41" i="1" s="1"/>
  <c r="B41" i="1" s="1"/>
  <c r="AB53" i="2"/>
  <c r="AT53" i="2"/>
  <c r="AH53" i="2"/>
  <c r="AM53" i="2" s="1"/>
  <c r="AR53" i="2"/>
  <c r="AS53" i="2" s="1"/>
  <c r="AK53" i="2"/>
  <c r="AL53" i="2" s="1"/>
  <c r="AU53" i="2"/>
  <c r="AN53" i="2"/>
  <c r="AV53" i="2" s="1"/>
  <c r="AZ53" i="2" s="1"/>
  <c r="F40" i="1" s="1"/>
  <c r="AE53" i="2"/>
  <c r="AJ53" i="2" s="1"/>
  <c r="AD53" i="2"/>
  <c r="BD53" i="2"/>
  <c r="BC53" i="2"/>
  <c r="V55" i="2"/>
  <c r="X55" i="2" s="1"/>
  <c r="BI55" i="2" s="1"/>
  <c r="W55" i="2"/>
  <c r="Y55" i="2" s="1"/>
  <c r="AQ51" i="2"/>
  <c r="AY51" i="2"/>
  <c r="E38" i="1" s="1"/>
  <c r="BH54" i="2" l="1"/>
  <c r="AQ52" i="2"/>
  <c r="AI53" i="2"/>
  <c r="AO53" i="2" s="1"/>
  <c r="AP53" i="2" s="1"/>
  <c r="AY53" i="2" s="1"/>
  <c r="E40" i="1" s="1"/>
  <c r="AX55" i="2"/>
  <c r="D42" i="1" s="1"/>
  <c r="AA54" i="2"/>
  <c r="AF53" i="2"/>
  <c r="AG53" i="2" s="1"/>
  <c r="BC54" i="2"/>
  <c r="BD54" i="2"/>
  <c r="V56" i="2"/>
  <c r="X56" i="2" s="1"/>
  <c r="BI56" i="2" s="1"/>
  <c r="W56" i="2"/>
  <c r="Y56" i="2" s="1"/>
  <c r="AB54" i="2"/>
  <c r="AW55" i="2"/>
  <c r="C42" i="1" s="1"/>
  <c r="B42" i="1" s="1"/>
  <c r="AC54" i="2"/>
  <c r="AD54" i="2"/>
  <c r="Z54" i="2"/>
  <c r="BE55" i="2" s="1"/>
  <c r="AT54" i="2"/>
  <c r="AF54" i="2"/>
  <c r="AG54" i="2" s="1"/>
  <c r="AR54" i="2"/>
  <c r="AS54" i="2" s="1"/>
  <c r="AU54" i="2"/>
  <c r="AK54" i="2"/>
  <c r="AL54" i="2" s="1"/>
  <c r="AH54" i="2"/>
  <c r="AM54" i="2" s="1"/>
  <c r="BH55" i="2" l="1"/>
  <c r="AQ53" i="2"/>
  <c r="AN54" i="2"/>
  <c r="AV54" i="2" s="1"/>
  <c r="AZ54" i="2" s="1"/>
  <c r="F41" i="1" s="1"/>
  <c r="AA55" i="2"/>
  <c r="AX56" i="2"/>
  <c r="D43" i="1" s="1"/>
  <c r="AC55" i="2"/>
  <c r="AW56" i="2"/>
  <c r="C43" i="1" s="1"/>
  <c r="B43" i="1" s="1"/>
  <c r="AB55" i="2"/>
  <c r="AD55" i="2"/>
  <c r="Z55" i="2"/>
  <c r="BE56" i="2" s="1"/>
  <c r="AE55" i="2"/>
  <c r="AJ55" i="2" s="1"/>
  <c r="AH55" i="2"/>
  <c r="AM55" i="2" s="1"/>
  <c r="AF55" i="2"/>
  <c r="AG55" i="2" s="1"/>
  <c r="AK55" i="2"/>
  <c r="AL55" i="2" s="1"/>
  <c r="AN55" i="2"/>
  <c r="AV55" i="2" s="1"/>
  <c r="AZ55" i="2" s="1"/>
  <c r="F42" i="1" s="1"/>
  <c r="AT55" i="2"/>
  <c r="AR55" i="2"/>
  <c r="AS55" i="2" s="1"/>
  <c r="AU55" i="2"/>
  <c r="AE54" i="2"/>
  <c r="AJ54" i="2" s="1"/>
  <c r="BD55" i="2"/>
  <c r="BC55" i="2"/>
  <c r="AI54" i="2"/>
  <c r="AO54" i="2" s="1"/>
  <c r="AP54" i="2" s="1"/>
  <c r="V57" i="2"/>
  <c r="X57" i="2" s="1"/>
  <c r="BI57" i="2" s="1"/>
  <c r="W57" i="2"/>
  <c r="Y57" i="2" s="1"/>
  <c r="BH56" i="2" l="1"/>
  <c r="AY54" i="2"/>
  <c r="E41" i="1" s="1"/>
  <c r="AQ54" i="2"/>
  <c r="V58" i="2"/>
  <c r="X58" i="2" s="1"/>
  <c r="BI58" i="2" s="1"/>
  <c r="W58" i="2"/>
  <c r="Y58" i="2" s="1"/>
  <c r="Z56" i="2"/>
  <c r="BE57" i="2" s="1"/>
  <c r="AC56" i="2"/>
  <c r="AB56" i="2"/>
  <c r="AW57" i="2"/>
  <c r="C44" i="1" s="1"/>
  <c r="B44" i="1" s="1"/>
  <c r="AX57" i="2"/>
  <c r="D44" i="1" s="1"/>
  <c r="AA56" i="2"/>
  <c r="AK56" i="2" s="1"/>
  <c r="AL56" i="2" s="1"/>
  <c r="BD56" i="2"/>
  <c r="AI55" i="2"/>
  <c r="AO55" i="2" s="1"/>
  <c r="AP55" i="2" s="1"/>
  <c r="AY55" i="2" s="1"/>
  <c r="E42" i="1" s="1"/>
  <c r="BC56" i="2"/>
  <c r="BH57" i="2" l="1"/>
  <c r="AD56" i="2"/>
  <c r="AI56" i="2" s="1"/>
  <c r="AO56" i="2" s="1"/>
  <c r="AP56" i="2" s="1"/>
  <c r="AM56" i="2"/>
  <c r="AH56" i="2"/>
  <c r="AU56" i="2"/>
  <c r="AF56" i="2"/>
  <c r="AG56" i="2" s="1"/>
  <c r="AT56" i="2"/>
  <c r="AR56" i="2"/>
  <c r="AS56" i="2" s="1"/>
  <c r="AQ55" i="2"/>
  <c r="AN56" i="2"/>
  <c r="AV56" i="2" s="1"/>
  <c r="AZ56" i="2" s="1"/>
  <c r="F43" i="1" s="1"/>
  <c r="V59" i="2"/>
  <c r="X59" i="2" s="1"/>
  <c r="BI59" i="2" s="1"/>
  <c r="W59" i="2"/>
  <c r="Y59" i="2" s="1"/>
  <c r="AE56" i="2"/>
  <c r="AJ56" i="2" s="1"/>
  <c r="BC57" i="2"/>
  <c r="BD57" i="2"/>
  <c r="AX58" i="2"/>
  <c r="D45" i="1" s="1"/>
  <c r="AA57" i="2"/>
  <c r="AC57" i="2"/>
  <c r="AH57" i="2" s="1"/>
  <c r="AM57" i="2" s="1"/>
  <c r="AW58" i="2"/>
  <c r="C45" i="1" s="1"/>
  <c r="B45" i="1" s="1"/>
  <c r="Z57" i="2"/>
  <c r="BE58" i="2" s="1"/>
  <c r="AB57" i="2"/>
  <c r="AU57" i="2"/>
  <c r="AR57" i="2"/>
  <c r="AS57" i="2" s="1"/>
  <c r="AF57" i="2"/>
  <c r="AG57" i="2" s="1"/>
  <c r="BH58" i="2" l="1"/>
  <c r="AK57" i="2"/>
  <c r="AL57" i="2" s="1"/>
  <c r="AT57" i="2"/>
  <c r="AY56" i="2"/>
  <c r="E43" i="1" s="1"/>
  <c r="AQ56" i="2"/>
  <c r="AN57" i="2"/>
  <c r="AV57" i="2" s="1"/>
  <c r="AZ57" i="2" s="1"/>
  <c r="F44" i="1" s="1"/>
  <c r="AE57" i="2"/>
  <c r="AJ57" i="2" s="1"/>
  <c r="V60" i="2"/>
  <c r="X60" i="2" s="1"/>
  <c r="BI60" i="2" s="1"/>
  <c r="W60" i="2"/>
  <c r="Y60" i="2" s="1"/>
  <c r="AD57" i="2"/>
  <c r="AI57" i="2" s="1"/>
  <c r="AO57" i="2" s="1"/>
  <c r="AP57" i="2" s="1"/>
  <c r="BD58" i="2"/>
  <c r="BC58" i="2"/>
  <c r="AX59" i="2"/>
  <c r="D46" i="1" s="1"/>
  <c r="AA58" i="2"/>
  <c r="Z58" i="2"/>
  <c r="BE59" i="2" s="1"/>
  <c r="AB58" i="2"/>
  <c r="AC58" i="2"/>
  <c r="AH58" i="2" s="1"/>
  <c r="AM58" i="2" s="1"/>
  <c r="AW59" i="2"/>
  <c r="C46" i="1" s="1"/>
  <c r="B46" i="1" s="1"/>
  <c r="AE58" i="2"/>
  <c r="AJ58" i="2" s="1"/>
  <c r="AT58" i="2"/>
  <c r="AK58" i="2"/>
  <c r="AL58" i="2" s="1"/>
  <c r="AN58" i="2"/>
  <c r="AV58" i="2" s="1"/>
  <c r="AZ58" i="2" s="1"/>
  <c r="F45" i="1" s="1"/>
  <c r="BH59" i="2" l="1"/>
  <c r="AF58" i="2"/>
  <c r="AG58" i="2" s="1"/>
  <c r="AU58" i="2"/>
  <c r="AR58" i="2"/>
  <c r="AS58" i="2" s="1"/>
  <c r="AY57" i="2"/>
  <c r="E44" i="1" s="1"/>
  <c r="AQ57" i="2"/>
  <c r="AX60" i="2"/>
  <c r="D47" i="1" s="1"/>
  <c r="AA59" i="2"/>
  <c r="AD58" i="2"/>
  <c r="AI58" i="2" s="1"/>
  <c r="AO58" i="2" s="1"/>
  <c r="AP58" i="2" s="1"/>
  <c r="AY58" i="2" s="1"/>
  <c r="E45" i="1" s="1"/>
  <c r="BC59" i="2"/>
  <c r="BD59" i="2"/>
  <c r="V61" i="2"/>
  <c r="X61" i="2" s="1"/>
  <c r="BI61" i="2" s="1"/>
  <c r="W61" i="2"/>
  <c r="Y61" i="2" s="1"/>
  <c r="AW60" i="2"/>
  <c r="C47" i="1" s="1"/>
  <c r="B47" i="1" s="1"/>
  <c r="AB59" i="2"/>
  <c r="Z59" i="2"/>
  <c r="BE60" i="2" s="1"/>
  <c r="AC59" i="2"/>
  <c r="AH59" i="2"/>
  <c r="AD59" i="2"/>
  <c r="AK59" i="2"/>
  <c r="AL59" i="2" s="1"/>
  <c r="AR59" i="2"/>
  <c r="AS59" i="2" s="1"/>
  <c r="AF59" i="2"/>
  <c r="AG59" i="2" s="1"/>
  <c r="AM59" i="2"/>
  <c r="AU59" i="2"/>
  <c r="AT59" i="2"/>
  <c r="BH60" i="2" l="1"/>
  <c r="AN59" i="2"/>
  <c r="AV59" i="2" s="1"/>
  <c r="AZ59" i="2" s="1"/>
  <c r="F46" i="1" s="1"/>
  <c r="AQ58" i="2"/>
  <c r="AA60" i="2"/>
  <c r="AX61" i="2"/>
  <c r="D48" i="1" s="1"/>
  <c r="AE59" i="2"/>
  <c r="AJ59" i="2" s="1"/>
  <c r="BD60" i="2"/>
  <c r="AI59" i="2"/>
  <c r="AO59" i="2" s="1"/>
  <c r="AP59" i="2" s="1"/>
  <c r="BC60" i="2"/>
  <c r="V62" i="2"/>
  <c r="X62" i="2" s="1"/>
  <c r="BI62" i="2" s="1"/>
  <c r="W62" i="2"/>
  <c r="Y62" i="2" s="1"/>
  <c r="AC60" i="2"/>
  <c r="AW61" i="2"/>
  <c r="C48" i="1" s="1"/>
  <c r="B48" i="1" s="1"/>
  <c r="Z60" i="2"/>
  <c r="BE61" i="2" s="1"/>
  <c r="AB60" i="2"/>
  <c r="AK60" i="2"/>
  <c r="AL60" i="2" s="1"/>
  <c r="AF60" i="2"/>
  <c r="AG60" i="2" s="1"/>
  <c r="AT60" i="2"/>
  <c r="AU60" i="2"/>
  <c r="AN60" i="2"/>
  <c r="AV60" i="2" s="1"/>
  <c r="AZ60" i="2" s="1"/>
  <c r="F47" i="1" s="1"/>
  <c r="AR60" i="2"/>
  <c r="AS60" i="2" s="1"/>
  <c r="AD60" i="2"/>
  <c r="AE60" i="2"/>
  <c r="AJ60" i="2" s="1"/>
  <c r="AH60" i="2"/>
  <c r="AM60" i="2" s="1"/>
  <c r="BH61" i="2" l="1"/>
  <c r="AY59" i="2"/>
  <c r="E46" i="1" s="1"/>
  <c r="AQ59" i="2"/>
  <c r="AI60" i="2"/>
  <c r="AO60" i="2" s="1"/>
  <c r="AP60" i="2" s="1"/>
  <c r="AY60" i="2" s="1"/>
  <c r="E47" i="1" s="1"/>
  <c r="V63" i="2"/>
  <c r="X63" i="2" s="1"/>
  <c r="BI63" i="2" s="1"/>
  <c r="W63" i="2"/>
  <c r="Y63" i="2" s="1"/>
  <c r="AX62" i="2"/>
  <c r="D49" i="1" s="1"/>
  <c r="AA61" i="2"/>
  <c r="AW62" i="2"/>
  <c r="C49" i="1" s="1"/>
  <c r="B49" i="1" s="1"/>
  <c r="AC61" i="2"/>
  <c r="AH61" i="2" s="1"/>
  <c r="AD61" i="2"/>
  <c r="AB61" i="2"/>
  <c r="AF61" i="2" s="1"/>
  <c r="AG61" i="2" s="1"/>
  <c r="Z61" i="2"/>
  <c r="BE62" i="2" s="1"/>
  <c r="AN61" i="2"/>
  <c r="AV61" i="2" s="1"/>
  <c r="AZ61" i="2" s="1"/>
  <c r="F48" i="1" s="1"/>
  <c r="BD61" i="2"/>
  <c r="BC61" i="2"/>
  <c r="BH62" i="2" l="1"/>
  <c r="AE61" i="2"/>
  <c r="AJ61" i="2" s="1"/>
  <c r="AU61" i="2"/>
  <c r="AK61" i="2"/>
  <c r="AL61" i="2" s="1"/>
  <c r="AM61" i="2"/>
  <c r="AR61" i="2"/>
  <c r="AS61" i="2" s="1"/>
  <c r="AT61" i="2"/>
  <c r="AQ60" i="2"/>
  <c r="AX63" i="2"/>
  <c r="D50" i="1" s="1"/>
  <c r="AA62" i="2"/>
  <c r="AI61" i="2"/>
  <c r="AO61" i="2" s="1"/>
  <c r="AP61" i="2" s="1"/>
  <c r="AY61" i="2" s="1"/>
  <c r="E48" i="1" s="1"/>
  <c r="BD62" i="2"/>
  <c r="BC62" i="2"/>
  <c r="V64" i="2"/>
  <c r="X64" i="2" s="1"/>
  <c r="BI64" i="2" s="1"/>
  <c r="W64" i="2"/>
  <c r="Y64" i="2" s="1"/>
  <c r="Z62" i="2"/>
  <c r="BE63" i="2" s="1"/>
  <c r="AB62" i="2"/>
  <c r="AW63" i="2"/>
  <c r="C50" i="1" s="1"/>
  <c r="B50" i="1" s="1"/>
  <c r="AC62" i="2"/>
  <c r="AD62" i="2"/>
  <c r="AT62" i="2"/>
  <c r="AU62" i="2"/>
  <c r="AR62" i="2"/>
  <c r="AS62" i="2" s="1"/>
  <c r="AH62" i="2"/>
  <c r="AM62" i="2" s="1"/>
  <c r="AF62" i="2"/>
  <c r="AG62" i="2" s="1"/>
  <c r="AK62" i="2"/>
  <c r="AL62" i="2" s="1"/>
  <c r="BH63" i="2" l="1"/>
  <c r="AQ61" i="2"/>
  <c r="AN62" i="2"/>
  <c r="AV62" i="2" s="1"/>
  <c r="AZ62" i="2" s="1"/>
  <c r="F49" i="1" s="1"/>
  <c r="AI62" i="2"/>
  <c r="AO62" i="2" s="1"/>
  <c r="AP62" i="2" s="1"/>
  <c r="AA63" i="2"/>
  <c r="AX64" i="2"/>
  <c r="D51" i="1" s="1"/>
  <c r="AC63" i="2"/>
  <c r="Z63" i="2"/>
  <c r="BE64" i="2" s="1"/>
  <c r="AD63" i="2"/>
  <c r="AW64" i="2"/>
  <c r="C51" i="1" s="1"/>
  <c r="B51" i="1" s="1"/>
  <c r="AB63" i="2"/>
  <c r="AF63" i="2" s="1"/>
  <c r="AG63" i="2" s="1"/>
  <c r="AU63" i="2"/>
  <c r="AR63" i="2"/>
  <c r="AS63" i="2" s="1"/>
  <c r="AK63" i="2"/>
  <c r="AL63" i="2" s="1"/>
  <c r="AH63" i="2"/>
  <c r="AM63" i="2" s="1"/>
  <c r="AE63" i="2"/>
  <c r="AJ63" i="2" s="1"/>
  <c r="AT63" i="2"/>
  <c r="AN63" i="2"/>
  <c r="AV63" i="2" s="1"/>
  <c r="AZ63" i="2" s="1"/>
  <c r="F50" i="1" s="1"/>
  <c r="AE62" i="2"/>
  <c r="AJ62" i="2" s="1"/>
  <c r="BD63" i="2"/>
  <c r="BC63" i="2"/>
  <c r="V65" i="2"/>
  <c r="X65" i="2" s="1"/>
  <c r="BI65" i="2" s="1"/>
  <c r="W65" i="2"/>
  <c r="Y65" i="2" s="1"/>
  <c r="BH64" i="2" l="1"/>
  <c r="AY62" i="2"/>
  <c r="E49" i="1" s="1"/>
  <c r="AQ62" i="2"/>
  <c r="AX65" i="2"/>
  <c r="D52" i="1" s="1"/>
  <c r="AA64" i="2"/>
  <c r="V66" i="2"/>
  <c r="X66" i="2" s="1"/>
  <c r="BI66" i="2" s="1"/>
  <c r="W66" i="2"/>
  <c r="Y66" i="2" s="1"/>
  <c r="AB64" i="2"/>
  <c r="AW65" i="2"/>
  <c r="C52" i="1" s="1"/>
  <c r="B52" i="1" s="1"/>
  <c r="AC64" i="2"/>
  <c r="Z64" i="2"/>
  <c r="BE65" i="2" s="1"/>
  <c r="AD64" i="2"/>
  <c r="AU64" i="2"/>
  <c r="AH64" i="2"/>
  <c r="AM64" i="2" s="1"/>
  <c r="AE64" i="2"/>
  <c r="AJ64" i="2" s="1"/>
  <c r="AR64" i="2"/>
  <c r="AS64" i="2" s="1"/>
  <c r="AK64" i="2"/>
  <c r="AL64" i="2" s="1"/>
  <c r="AT64" i="2"/>
  <c r="AI63" i="2"/>
  <c r="AO63" i="2" s="1"/>
  <c r="AP63" i="2" s="1"/>
  <c r="AY63" i="2" s="1"/>
  <c r="E50" i="1" s="1"/>
  <c r="BD64" i="2"/>
  <c r="BC64" i="2"/>
  <c r="BH65" i="2" l="1"/>
  <c r="AQ63" i="2"/>
  <c r="AN64" i="2"/>
  <c r="AV64" i="2" s="1"/>
  <c r="AZ64" i="2" s="1"/>
  <c r="F51" i="1" s="1"/>
  <c r="V67" i="2"/>
  <c r="X67" i="2" s="1"/>
  <c r="BI67" i="2" s="1"/>
  <c r="W67" i="2"/>
  <c r="Y67" i="2" s="1"/>
  <c r="AF64" i="2"/>
  <c r="AG64" i="2" s="1"/>
  <c r="BD65" i="2"/>
  <c r="AI64" i="2"/>
  <c r="AO64" i="2" s="1"/>
  <c r="AP64" i="2" s="1"/>
  <c r="BC65" i="2"/>
  <c r="AA65" i="2"/>
  <c r="AX66" i="2"/>
  <c r="D53" i="1" s="1"/>
  <c r="Z65" i="2"/>
  <c r="BE66" i="2" s="1"/>
  <c r="AB65" i="2"/>
  <c r="AE65" i="2"/>
  <c r="AJ65" i="2" s="1"/>
  <c r="AW66" i="2"/>
  <c r="C53" i="1" s="1"/>
  <c r="B53" i="1" s="1"/>
  <c r="AC65" i="2"/>
  <c r="AH65" i="2" s="1"/>
  <c r="AM65" i="2" s="1"/>
  <c r="AF65" i="2"/>
  <c r="AG65" i="2" s="1"/>
  <c r="AR65" i="2"/>
  <c r="AS65" i="2" s="1"/>
  <c r="AK65" i="2"/>
  <c r="AL65" i="2" s="1"/>
  <c r="AT65" i="2"/>
  <c r="AU65" i="2"/>
  <c r="AN65" i="2"/>
  <c r="AV65" i="2" s="1"/>
  <c r="AZ65" i="2" s="1"/>
  <c r="F52" i="1" s="1"/>
  <c r="BH66" i="2" l="1"/>
  <c r="AY64" i="2"/>
  <c r="E51" i="1" s="1"/>
  <c r="AQ64" i="2"/>
  <c r="AD65" i="2"/>
  <c r="AI65" i="2" s="1"/>
  <c r="AO65" i="2" s="1"/>
  <c r="AP65" i="2" s="1"/>
  <c r="AY65" i="2" s="1"/>
  <c r="E52" i="1" s="1"/>
  <c r="BD66" i="2"/>
  <c r="BC66" i="2"/>
  <c r="V68" i="2"/>
  <c r="X68" i="2" s="1"/>
  <c r="BI68" i="2" s="1"/>
  <c r="W68" i="2"/>
  <c r="Y68" i="2" s="1"/>
  <c r="AA66" i="2"/>
  <c r="AX67" i="2"/>
  <c r="D54" i="1" s="1"/>
  <c r="AW67" i="2"/>
  <c r="C54" i="1" s="1"/>
  <c r="B54" i="1" s="1"/>
  <c r="Z66" i="2"/>
  <c r="BE67" i="2" s="1"/>
  <c r="AC66" i="2"/>
  <c r="AB66" i="2"/>
  <c r="AK66" i="2"/>
  <c r="AL66" i="2" s="1"/>
  <c r="AE66" i="2"/>
  <c r="AJ66" i="2" s="1"/>
  <c r="AT66" i="2"/>
  <c r="AR66" i="2"/>
  <c r="AS66" i="2" s="1"/>
  <c r="AH66" i="2"/>
  <c r="AM66" i="2" s="1"/>
  <c r="AF66" i="2"/>
  <c r="AG66" i="2" s="1"/>
  <c r="AD66" i="2"/>
  <c r="AU66" i="2"/>
  <c r="BH67" i="2" l="1"/>
  <c r="AQ65" i="2"/>
  <c r="AN66" i="2"/>
  <c r="AV66" i="2" s="1"/>
  <c r="AZ66" i="2" s="1"/>
  <c r="F53" i="1" s="1"/>
  <c r="AI66" i="2"/>
  <c r="AO66" i="2" s="1"/>
  <c r="AP66" i="2" s="1"/>
  <c r="BC67" i="2"/>
  <c r="BD67" i="2"/>
  <c r="V69" i="2"/>
  <c r="X69" i="2" s="1"/>
  <c r="BI69" i="2" s="1"/>
  <c r="W69" i="2"/>
  <c r="Y69" i="2" s="1"/>
  <c r="AX68" i="2"/>
  <c r="D55" i="1" s="1"/>
  <c r="AA67" i="2"/>
  <c r="AW68" i="2"/>
  <c r="C55" i="1" s="1"/>
  <c r="B55" i="1" s="1"/>
  <c r="Z67" i="2"/>
  <c r="BE68" i="2" s="1"/>
  <c r="AR67" i="2"/>
  <c r="AS67" i="2" s="1"/>
  <c r="AB67" i="2"/>
  <c r="AC67" i="2"/>
  <c r="AH67" i="2" s="1"/>
  <c r="AM67" i="2" s="1"/>
  <c r="AT67" i="2"/>
  <c r="AK67" i="2"/>
  <c r="AL67" i="2" s="1"/>
  <c r="AU67" i="2"/>
  <c r="AF67" i="2"/>
  <c r="AG67" i="2" s="1"/>
  <c r="AD67" i="2"/>
  <c r="AE67" i="2"/>
  <c r="AJ67" i="2" s="1"/>
  <c r="AN67" i="2"/>
  <c r="AV67" i="2" s="1"/>
  <c r="AZ67" i="2" s="1"/>
  <c r="F54" i="1" s="1"/>
  <c r="BH68" i="2" l="1"/>
  <c r="AY66" i="2"/>
  <c r="E53" i="1" s="1"/>
  <c r="AQ66" i="2"/>
  <c r="AI67" i="2"/>
  <c r="AO67" i="2" s="1"/>
  <c r="AP67" i="2" s="1"/>
  <c r="AY67" i="2" s="1"/>
  <c r="E54" i="1" s="1"/>
  <c r="AA68" i="2"/>
  <c r="AX69" i="2"/>
  <c r="D56" i="1" s="1"/>
  <c r="BD68" i="2"/>
  <c r="BC68" i="2"/>
  <c r="V70" i="2"/>
  <c r="X70" i="2" s="1"/>
  <c r="BI70" i="2" s="1"/>
  <c r="W70" i="2"/>
  <c r="Y70" i="2" s="1"/>
  <c r="AC68" i="2"/>
  <c r="AW69" i="2"/>
  <c r="C56" i="1" s="1"/>
  <c r="B56" i="1" s="1"/>
  <c r="AB68" i="2"/>
  <c r="AD68" i="2"/>
  <c r="AF68" i="2"/>
  <c r="AG68" i="2" s="1"/>
  <c r="Z68" i="2"/>
  <c r="BE69" i="2" s="1"/>
  <c r="AU68" i="2"/>
  <c r="AT68" i="2"/>
  <c r="AN68" i="2"/>
  <c r="AV68" i="2" s="1"/>
  <c r="AZ68" i="2" s="1"/>
  <c r="F55" i="1" s="1"/>
  <c r="AH68" i="2"/>
  <c r="AM68" i="2" s="1"/>
  <c r="BH69" i="2" l="1"/>
  <c r="AR68" i="2"/>
  <c r="AS68" i="2" s="1"/>
  <c r="AE68" i="2"/>
  <c r="AJ68" i="2" s="1"/>
  <c r="AQ67" i="2"/>
  <c r="AK68" i="2"/>
  <c r="AL68" i="2" s="1"/>
  <c r="AX70" i="2"/>
  <c r="D57" i="1" s="1"/>
  <c r="AA69" i="2"/>
  <c r="V71" i="2"/>
  <c r="X71" i="2" s="1"/>
  <c r="BI71" i="2" s="1"/>
  <c r="W71" i="2"/>
  <c r="Y71" i="2" s="1"/>
  <c r="AB69" i="2"/>
  <c r="Z69" i="2"/>
  <c r="BE70" i="2" s="1"/>
  <c r="AW70" i="2"/>
  <c r="C57" i="1" s="1"/>
  <c r="B57" i="1" s="1"/>
  <c r="AC69" i="2"/>
  <c r="AR69" i="2"/>
  <c r="AS69" i="2" s="1"/>
  <c r="AD69" i="2"/>
  <c r="AE69" i="2"/>
  <c r="AJ69" i="2" s="1"/>
  <c r="AF69" i="2"/>
  <c r="AG69" i="2" s="1"/>
  <c r="AK69" i="2"/>
  <c r="AL69" i="2" s="1"/>
  <c r="AT69" i="2"/>
  <c r="AH69" i="2"/>
  <c r="AM69" i="2" s="1"/>
  <c r="BC69" i="2"/>
  <c r="AI68" i="2"/>
  <c r="AO68" i="2" s="1"/>
  <c r="AP68" i="2" s="1"/>
  <c r="AY68" i="2" s="1"/>
  <c r="E55" i="1" s="1"/>
  <c r="BD69" i="2"/>
  <c r="BH70" i="2" l="1"/>
  <c r="AN69" i="2"/>
  <c r="AV69" i="2" s="1"/>
  <c r="AZ69" i="2" s="1"/>
  <c r="F56" i="1" s="1"/>
  <c r="AQ68" i="2"/>
  <c r="AI69" i="2"/>
  <c r="AO69" i="2" s="1"/>
  <c r="AP69" i="2" s="1"/>
  <c r="AA70" i="2"/>
  <c r="AX71" i="2"/>
  <c r="D58" i="1" s="1"/>
  <c r="AU69" i="2"/>
  <c r="BD70" i="2"/>
  <c r="BC70" i="2"/>
  <c r="V72" i="2"/>
  <c r="X72" i="2" s="1"/>
  <c r="BI72" i="2" s="1"/>
  <c r="W72" i="2"/>
  <c r="Y72" i="2" s="1"/>
  <c r="Z70" i="2"/>
  <c r="BE71" i="2" s="1"/>
  <c r="AB70" i="2"/>
  <c r="AC70" i="2"/>
  <c r="AW71" i="2"/>
  <c r="C58" i="1" s="1"/>
  <c r="B58" i="1" s="1"/>
  <c r="AT70" i="2"/>
  <c r="AR70" i="2"/>
  <c r="AS70" i="2" s="1"/>
  <c r="AU70" i="2"/>
  <c r="AK70" i="2"/>
  <c r="AL70" i="2" s="1"/>
  <c r="AD70" i="2"/>
  <c r="AE70" i="2"/>
  <c r="AJ70" i="2" s="1"/>
  <c r="AH70" i="2"/>
  <c r="AM70" i="2" s="1"/>
  <c r="BH71" i="2" l="1"/>
  <c r="AY69" i="2"/>
  <c r="E56" i="1" s="1"/>
  <c r="AQ69" i="2"/>
  <c r="AN70" i="2"/>
  <c r="AV70" i="2" s="1"/>
  <c r="AZ70" i="2" s="1"/>
  <c r="F57" i="1" s="1"/>
  <c r="AA71" i="2"/>
  <c r="AX72" i="2"/>
  <c r="D59" i="1" s="1"/>
  <c r="Z71" i="2"/>
  <c r="BE72" i="2" s="1"/>
  <c r="AB71" i="2"/>
  <c r="AC71" i="2"/>
  <c r="AW72" i="2"/>
  <c r="C59" i="1" s="1"/>
  <c r="B59" i="1" s="1"/>
  <c r="AD71" i="2"/>
  <c r="AK71" i="2"/>
  <c r="AL71" i="2" s="1"/>
  <c r="AR71" i="2"/>
  <c r="AS71" i="2" s="1"/>
  <c r="AT71" i="2"/>
  <c r="AU71" i="2"/>
  <c r="AH71" i="2"/>
  <c r="AM71" i="2" s="1"/>
  <c r="AE71" i="2"/>
  <c r="AJ71" i="2" s="1"/>
  <c r="V73" i="2"/>
  <c r="X73" i="2" s="1"/>
  <c r="BI73" i="2" s="1"/>
  <c r="W73" i="2"/>
  <c r="Y73" i="2" s="1"/>
  <c r="AF70" i="2"/>
  <c r="AG70" i="2" s="1"/>
  <c r="BD71" i="2"/>
  <c r="AI70" i="2"/>
  <c r="AO70" i="2" s="1"/>
  <c r="AP70" i="2" s="1"/>
  <c r="BC71" i="2"/>
  <c r="BH72" i="2" l="1"/>
  <c r="AY70" i="2"/>
  <c r="E57" i="1" s="1"/>
  <c r="AQ70" i="2"/>
  <c r="AN71" i="2"/>
  <c r="AV71" i="2" s="1"/>
  <c r="AZ71" i="2" s="1"/>
  <c r="F58" i="1" s="1"/>
  <c r="AX73" i="2"/>
  <c r="D60" i="1" s="1"/>
  <c r="AA72" i="2"/>
  <c r="AB72" i="2"/>
  <c r="Z72" i="2"/>
  <c r="BE73" i="2" s="1"/>
  <c r="AC72" i="2"/>
  <c r="AH72" i="2" s="1"/>
  <c r="AM72" i="2" s="1"/>
  <c r="AW73" i="2"/>
  <c r="C60" i="1" s="1"/>
  <c r="B60" i="1" s="1"/>
  <c r="AD72" i="2"/>
  <c r="AR72" i="2"/>
  <c r="AS72" i="2" s="1"/>
  <c r="AK72" i="2"/>
  <c r="AL72" i="2" s="1"/>
  <c r="AF72" i="2"/>
  <c r="AG72" i="2" s="1"/>
  <c r="AT72" i="2"/>
  <c r="AU72" i="2"/>
  <c r="V74" i="2"/>
  <c r="X74" i="2" s="1"/>
  <c r="BI74" i="2" s="1"/>
  <c r="W74" i="2"/>
  <c r="Y74" i="2" s="1"/>
  <c r="AF71" i="2"/>
  <c r="AG71" i="2" s="1"/>
  <c r="BC72" i="2"/>
  <c r="AI71" i="2"/>
  <c r="AO71" i="2" s="1"/>
  <c r="AP71" i="2" s="1"/>
  <c r="BD72" i="2"/>
  <c r="BH73" i="2" l="1"/>
  <c r="AY71" i="2"/>
  <c r="E58" i="1" s="1"/>
  <c r="AQ71" i="2"/>
  <c r="AN72" i="2"/>
  <c r="AV72" i="2" s="1"/>
  <c r="AZ72" i="2" s="1"/>
  <c r="F59" i="1" s="1"/>
  <c r="V75" i="2"/>
  <c r="X75" i="2" s="1"/>
  <c r="BI75" i="2" s="1"/>
  <c r="W75" i="2"/>
  <c r="Y75" i="2" s="1"/>
  <c r="AW74" i="2"/>
  <c r="C61" i="1" s="1"/>
  <c r="B61" i="1" s="1"/>
  <c r="AB73" i="2"/>
  <c r="AC73" i="2"/>
  <c r="Z73" i="2"/>
  <c r="BE74" i="2" s="1"/>
  <c r="AE72" i="2"/>
  <c r="AJ72" i="2" s="1"/>
  <c r="BD73" i="2"/>
  <c r="BC73" i="2"/>
  <c r="AI72" i="2"/>
  <c r="AO72" i="2" s="1"/>
  <c r="AP72" i="2" s="1"/>
  <c r="AX74" i="2"/>
  <c r="D61" i="1" s="1"/>
  <c r="AA73" i="2"/>
  <c r="AD73" i="2" s="1"/>
  <c r="BH74" i="2" l="1"/>
  <c r="AE73" i="2"/>
  <c r="AJ73" i="2" s="1"/>
  <c r="AM73" i="2"/>
  <c r="AF73" i="2"/>
  <c r="AG73" i="2" s="1"/>
  <c r="AH73" i="2"/>
  <c r="AT73" i="2"/>
  <c r="AY72" i="2"/>
  <c r="E59" i="1" s="1"/>
  <c r="AQ72" i="2"/>
  <c r="AN73" i="2"/>
  <c r="AV73" i="2" s="1"/>
  <c r="AZ73" i="2" s="1"/>
  <c r="F60" i="1" s="1"/>
  <c r="AK73" i="2"/>
  <c r="AL73" i="2" s="1"/>
  <c r="AU73" i="2"/>
  <c r="AR73" i="2"/>
  <c r="AS73" i="2" s="1"/>
  <c r="BC74" i="2"/>
  <c r="AI73" i="2"/>
  <c r="AO73" i="2" s="1"/>
  <c r="AP73" i="2" s="1"/>
  <c r="AY73" i="2" s="1"/>
  <c r="E60" i="1" s="1"/>
  <c r="BD74" i="2"/>
  <c r="AA74" i="2"/>
  <c r="AX75" i="2"/>
  <c r="D62" i="1" s="1"/>
  <c r="AC74" i="2"/>
  <c r="AW75" i="2"/>
  <c r="C62" i="1" s="1"/>
  <c r="B62" i="1" s="1"/>
  <c r="AD74" i="2"/>
  <c r="Z74" i="2"/>
  <c r="BE75" i="2" s="1"/>
  <c r="AB74" i="2"/>
  <c r="AK74" i="2"/>
  <c r="AL74" i="2" s="1"/>
  <c r="AR74" i="2"/>
  <c r="AS74" i="2" s="1"/>
  <c r="AT74" i="2"/>
  <c r="AU74" i="2"/>
  <c r="AH74" i="2"/>
  <c r="AM74" i="2" s="1"/>
  <c r="AF74" i="2"/>
  <c r="AG74" i="2" s="1"/>
  <c r="BH75" i="2" l="1"/>
  <c r="AN74" i="2"/>
  <c r="AV74" i="2" s="1"/>
  <c r="AZ74" i="2" s="1"/>
  <c r="AQ73" i="2"/>
  <c r="AE74" i="2"/>
  <c r="AJ74" i="2" s="1"/>
  <c r="BD75" i="2"/>
  <c r="BC75" i="2"/>
  <c r="AI74" i="2"/>
  <c r="AO74" i="2" s="1"/>
  <c r="AP74" i="2" s="1"/>
  <c r="AY74" i="2" l="1"/>
  <c r="E61" i="1" s="1"/>
  <c r="AQ74" i="2"/>
  <c r="BA25" i="2"/>
  <c r="F61" i="1"/>
  <c r="BA26" i="2" l="1"/>
  <c r="G12" i="1"/>
  <c r="G7" i="1"/>
  <c r="AD5" i="2" l="1"/>
  <c r="AC5" i="2"/>
  <c r="G13" i="1"/>
  <c r="BA27" i="2"/>
  <c r="H7" i="1" l="1"/>
  <c r="G14" i="1"/>
  <c r="BA28" i="2"/>
  <c r="BA29" i="2" l="1"/>
  <c r="G15" i="1"/>
  <c r="G16" i="1" l="1"/>
  <c r="BA30" i="2"/>
  <c r="G17" i="1" l="1"/>
  <c r="BA31" i="2"/>
  <c r="BA32" i="2" l="1"/>
  <c r="G18" i="1"/>
  <c r="G19" i="1" l="1"/>
  <c r="BA33" i="2"/>
  <c r="G20" i="1" l="1"/>
  <c r="BA34" i="2"/>
  <c r="G21" i="1" l="1"/>
  <c r="BA35" i="2"/>
  <c r="G22" i="1" l="1"/>
  <c r="BA36" i="2"/>
  <c r="BA37" i="2" l="1"/>
  <c r="G23" i="1"/>
  <c r="G24" i="1" l="1"/>
  <c r="BA38" i="2"/>
  <c r="BA39" i="2" l="1"/>
  <c r="G25" i="1"/>
  <c r="BA40" i="2" l="1"/>
  <c r="G26" i="1"/>
  <c r="BA41" i="2" l="1"/>
  <c r="G27" i="1"/>
  <c r="BA42" i="2" l="1"/>
  <c r="G28" i="1"/>
  <c r="BA43" i="2" l="1"/>
  <c r="G29" i="1"/>
  <c r="BA44" i="2" l="1"/>
  <c r="G30" i="1"/>
  <c r="G31" i="1" l="1"/>
  <c r="BA45" i="2"/>
  <c r="G32" i="1" l="1"/>
  <c r="BA46" i="2"/>
  <c r="G33" i="1" l="1"/>
  <c r="BA47" i="2"/>
  <c r="G34" i="1" l="1"/>
  <c r="BA48" i="2"/>
  <c r="BA49" i="2" l="1"/>
  <c r="G35" i="1"/>
  <c r="G36" i="1" l="1"/>
  <c r="BA50" i="2"/>
  <c r="G37" i="1" l="1"/>
  <c r="BA51" i="2"/>
  <c r="G38" i="1" l="1"/>
  <c r="BA52" i="2"/>
  <c r="G39" i="1" l="1"/>
  <c r="BA53" i="2"/>
  <c r="G40" i="1" l="1"/>
  <c r="BA54" i="2"/>
  <c r="G41" i="1" l="1"/>
  <c r="BA55" i="2"/>
  <c r="G42" i="1" l="1"/>
  <c r="BA56" i="2"/>
  <c r="G43" i="1" l="1"/>
  <c r="BA57" i="2"/>
  <c r="G44" i="1" l="1"/>
  <c r="BA58" i="2"/>
  <c r="BA59" i="2" l="1"/>
  <c r="G45" i="1"/>
  <c r="BA60" i="2" l="1"/>
  <c r="G46" i="1"/>
  <c r="BA61" i="2" l="1"/>
  <c r="G47" i="1"/>
  <c r="G48" i="1" l="1"/>
  <c r="BA62" i="2"/>
  <c r="BA63" i="2" l="1"/>
  <c r="G49" i="1"/>
  <c r="BA64" i="2" l="1"/>
  <c r="G50" i="1"/>
  <c r="BA65" i="2" l="1"/>
  <c r="G51" i="1"/>
  <c r="BA66" i="2" l="1"/>
  <c r="G52" i="1"/>
  <c r="BA67" i="2" l="1"/>
  <c r="G53" i="1"/>
  <c r="BA68" i="2" l="1"/>
  <c r="G54" i="1"/>
  <c r="G55" i="1" l="1"/>
  <c r="BA69" i="2"/>
  <c r="BA70" i="2" l="1"/>
  <c r="G56" i="1"/>
  <c r="BA71" i="2" l="1"/>
  <c r="G57" i="1"/>
  <c r="G58" i="1" l="1"/>
  <c r="BA72" i="2"/>
  <c r="BA73" i="2" l="1"/>
  <c r="G59" i="1"/>
  <c r="G60" i="1" l="1"/>
  <c r="BA74" i="2"/>
  <c r="G61" i="1" s="1"/>
</calcChain>
</file>

<file path=xl/sharedStrings.xml><?xml version="1.0" encoding="utf-8"?>
<sst xmlns="http://schemas.openxmlformats.org/spreadsheetml/2006/main" count="166" uniqueCount="84">
  <si>
    <t>GREAT CIRCLE SAILING</t>
  </si>
  <si>
    <t>TYPE OF CALCULATION</t>
  </si>
  <si>
    <t>DISTANCE</t>
  </si>
  <si>
    <t>LAT</t>
  </si>
  <si>
    <t>LONG</t>
  </si>
  <si>
    <t>Course</t>
  </si>
  <si>
    <t>Distance</t>
  </si>
  <si>
    <t>GREAT CIRCLE</t>
  </si>
  <si>
    <t>CALCULATION METHOD:</t>
  </si>
  <si>
    <t>SPHERE Corr.</t>
  </si>
  <si>
    <t>ARRIVAL</t>
  </si>
  <si>
    <t>TC ACCURACY</t>
  </si>
  <si>
    <t>000°</t>
  </si>
  <si>
    <t>Rhumb Line</t>
  </si>
  <si>
    <t>DISTANCE BY COURSE?</t>
  </si>
  <si>
    <t>NO</t>
  </si>
  <si>
    <t>ANA Sailing</t>
  </si>
  <si>
    <t>G.C. DIST CORR.?</t>
  </si>
  <si>
    <t>YES</t>
  </si>
  <si>
    <t>W.PT</t>
  </si>
  <si>
    <t>LATITUDE</t>
  </si>
  <si>
    <t>LONGITUDE</t>
  </si>
  <si>
    <t>COURSE</t>
  </si>
  <si>
    <t xml:space="preserve">D.T.G </t>
  </si>
  <si>
    <t/>
  </si>
  <si>
    <t>VERTEX</t>
  </si>
  <si>
    <t>GC Cross Equat.</t>
  </si>
  <si>
    <t>SIMPLE</t>
  </si>
  <si>
    <t>000.0°</t>
  </si>
  <si>
    <t>SPHERE</t>
  </si>
  <si>
    <r>
      <t>000.5</t>
    </r>
    <r>
      <rPr>
        <sz val="10"/>
        <rFont val="Calibri"/>
        <family val="2"/>
      </rPr>
      <t>°</t>
    </r>
  </si>
  <si>
    <t>SPHEROID WGS84</t>
  </si>
  <si>
    <t>LAT DIV</t>
  </si>
  <si>
    <t>TRUE WGS84</t>
  </si>
  <si>
    <t>1</t>
  </si>
  <si>
    <t>2</t>
  </si>
  <si>
    <t>3</t>
  </si>
  <si>
    <t>4</t>
  </si>
  <si>
    <t>5</t>
  </si>
  <si>
    <t>6</t>
  </si>
  <si>
    <t>WP NR</t>
  </si>
  <si>
    <t>ANA</t>
  </si>
  <si>
    <t>MIN</t>
  </si>
  <si>
    <t>MAX</t>
  </si>
  <si>
    <t>E</t>
  </si>
  <si>
    <t>Corr</t>
  </si>
  <si>
    <t>###° ##,50"</t>
  </si>
  <si>
    <t>###° ##,#0"</t>
  </si>
  <si>
    <t>###° #2,00"</t>
  </si>
  <si>
    <t>###° #2,50"</t>
  </si>
  <si>
    <t>###° #5,00"</t>
  </si>
  <si>
    <t>###° #0,00"</t>
  </si>
  <si>
    <t>X</t>
  </si>
  <si>
    <t>###° ##,00"</t>
  </si>
  <si>
    <t>ROUND LAT.?</t>
  </si>
  <si>
    <t>COMPOSITE</t>
  </si>
  <si>
    <t>CC</t>
  </si>
  <si>
    <t>TO GO</t>
  </si>
  <si>
    <t>TOTAL TO GO</t>
  </si>
  <si>
    <t>Δϕ</t>
  </si>
  <si>
    <t>Δλ</t>
  </si>
  <si>
    <t>TC</t>
  </si>
  <si>
    <t>S</t>
  </si>
  <si>
    <t>DPM</t>
  </si>
  <si>
    <t>IN COR</t>
  </si>
  <si>
    <t>END COR</t>
  </si>
  <si>
    <t>RHUMB</t>
  </si>
  <si>
    <t>A</t>
  </si>
  <si>
    <t>N</t>
  </si>
  <si>
    <t>NR</t>
  </si>
  <si>
    <t>TRANSAS?</t>
  </si>
  <si>
    <t>DISTANCE BY COURSE</t>
  </si>
  <si>
    <t>CALCULATION METHOD</t>
  </si>
  <si>
    <t>LAT Great Circle Sailing</t>
  </si>
  <si>
    <t>WP Great Circle Sailing</t>
  </si>
  <si>
    <t>LAT Composite Sailing</t>
  </si>
  <si>
    <t>DEPARTURE</t>
  </si>
  <si>
    <t>x</t>
  </si>
  <si>
    <t>y</t>
  </si>
  <si>
    <t>WIN / LOSE</t>
  </si>
  <si>
    <t>LIM</t>
  </si>
  <si>
    <t>LAT/ WP</t>
  </si>
  <si>
    <t>GRAF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</si>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</sst>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0.0"/>
    <numFmt numFmtId="165" formatCode="[&gt;0]#00\°00.00\'\ \N;#00\°00.00\'\ \S;#"/>
    <numFmt numFmtId="166" formatCode="[&gt;0]#000\°00.00\'\ &quot;E&quot;;#000\°00.00\'\ &quot;W&quot;;#"/>
    <numFmt numFmtId="167" formatCode="000.0\°"/>
    <numFmt numFmtId="168" formatCode="[&gt;0]#00\°00.00\'\ \N;#00\°00.00\'\ \S;#00\°00.00\'"/>
    <numFmt numFmtId="169" formatCode="[&gt;0]#000\°00.00\'\ &quot;E&quot;;#000\°00.00\'\ &quot;W&quot;;#000\°00.00\'#"/>
    <numFmt numFmtId="170" formatCode="0.0000"/>
    <numFmt numFmtId="171" formatCode="0.000"/>
    <numFmt numFmtId="172" formatCode="[&gt;0]#00\°00.00\'\ &quot;E&quot;;#00\°00.00\'\ &quot;W&quot;;#00\°00.00\'#"/>
    <numFmt numFmtId="173" formatCode="[&gt;0]#000\°00.0\'\ &quot;E&quot;;#000\°00.0\'\ &quot;W&quot;;#"/>
    <numFmt numFmtId="174" formatCode="[&gt;0]#00\°00.0\'\ \N;#00\°00.0\'\ \S;#"/>
    <numFmt numFmtId="175" formatCode="0.00000"/>
    <numFmt numFmtId="176" formatCode="0.000000"/>
  </numFmts>
  <fonts count="33">
    <font>
      <sz val="10"/>
      <name val="Arial"/>
      <family val="2"/>
    </font>
    <font>
      <sz val="10"/>
      <name val="MS Sans Serif"/>
      <family val="2"/>
      <charset val="204"/>
    </font>
    <font>
      <b/>
      <u/>
      <sz val="12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b/>
      <i/>
      <u/>
      <sz val="9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</font>
    <font>
      <b/>
      <i/>
      <sz val="10"/>
      <name val="Arial"/>
      <family val="2"/>
      <charset val="204"/>
    </font>
    <font>
      <b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  <family val="2"/>
      <charset val="204"/>
    </font>
    <font>
      <b/>
      <u/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ＭＳ Ｐゴシック"/>
      <family val="1"/>
    </font>
    <font>
      <sz val="12"/>
      <name val="바탕체"/>
      <family val="1"/>
      <charset val="129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i/>
      <sz val="10"/>
      <color rgb="FF0000FF"/>
      <name val="Arial"/>
      <family val="2"/>
      <charset val="204"/>
    </font>
    <font>
      <sz val="8"/>
      <color rgb="FFFF0000"/>
      <name val="Arial"/>
      <family val="2"/>
    </font>
    <font>
      <b/>
      <i/>
      <sz val="11"/>
      <color rgb="FF0000FF"/>
      <name val="Arial"/>
      <family val="2"/>
    </font>
    <font>
      <sz val="11"/>
      <name val="Calibri"/>
      <family val="2"/>
    </font>
    <font>
      <sz val="10"/>
      <name val="Calibri"/>
      <family val="2"/>
      <charset val="204"/>
    </font>
    <font>
      <sz val="10"/>
      <color rgb="FF0000FF"/>
      <name val="Arial"/>
      <family val="2"/>
    </font>
    <font>
      <b/>
      <i/>
      <sz val="12"/>
      <color rgb="FF0000FF"/>
      <name val="Arial"/>
      <family val="2"/>
    </font>
    <font>
      <sz val="10"/>
      <color rgb="FFB2B2B2"/>
      <name val="Arial"/>
      <family val="2"/>
    </font>
    <font>
      <sz val="9"/>
      <name val="Arial"/>
      <family val="2"/>
      <charset val="204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rgb="FF0000FF"/>
      <name val="Arial"/>
      <family val="2"/>
    </font>
    <font>
      <b/>
      <i/>
      <sz val="16"/>
      <color rgb="FF00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2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9" fillId="0" borderId="0"/>
    <xf numFmtId="0" fontId="3" fillId="0" borderId="0"/>
    <xf numFmtId="0" fontId="19" fillId="0" borderId="0"/>
    <xf numFmtId="0" fontId="1" fillId="0" borderId="0"/>
    <xf numFmtId="0" fontId="16" fillId="0" borderId="0"/>
    <xf numFmtId="0" fontId="17" fillId="0" borderId="0"/>
  </cellStyleXfs>
  <cellXfs count="263">
    <xf numFmtId="0" fontId="0" fillId="0" borderId="0" xfId="0"/>
    <xf numFmtId="0" fontId="2" fillId="0" borderId="0" xfId="4" applyNumberFormat="1" applyFont="1" applyFill="1" applyBorder="1" applyAlignment="1" applyProtection="1">
      <alignment horizontal="center"/>
      <protection hidden="1"/>
    </xf>
    <xf numFmtId="0" fontId="4" fillId="0" borderId="0" xfId="4" applyNumberFormat="1" applyFont="1" applyFill="1" applyBorder="1" applyAlignment="1" applyProtection="1">
      <protection hidden="1"/>
    </xf>
    <xf numFmtId="49" fontId="5" fillId="0" borderId="0" xfId="4" applyNumberFormat="1" applyFont="1" applyFill="1" applyBorder="1" applyAlignment="1" applyProtection="1">
      <alignment horizontal="right"/>
      <protection hidden="1"/>
    </xf>
    <xf numFmtId="0" fontId="6" fillId="0" borderId="0" xfId="4" applyNumberFormat="1" applyFont="1" applyFill="1" applyBorder="1" applyAlignment="1" applyProtection="1">
      <alignment horizontal="right"/>
      <protection hidden="1"/>
    </xf>
    <xf numFmtId="0" fontId="7" fillId="0" borderId="0" xfId="4" applyNumberFormat="1" applyFont="1" applyFill="1" applyBorder="1" applyAlignment="1" applyProtection="1">
      <alignment horizontal="center"/>
      <protection hidden="1"/>
    </xf>
    <xf numFmtId="164" fontId="7" fillId="0" borderId="0" xfId="4" applyNumberFormat="1" applyFont="1" applyFill="1" applyBorder="1" applyAlignment="1" applyProtection="1">
      <alignment horizontal="center"/>
      <protection hidden="1"/>
    </xf>
    <xf numFmtId="0" fontId="8" fillId="0" borderId="0" xfId="4" applyNumberFormat="1" applyFont="1" applyFill="1" applyBorder="1" applyAlignment="1" applyProtection="1">
      <alignment horizontal="right"/>
      <protection hidden="1"/>
    </xf>
    <xf numFmtId="167" fontId="4" fillId="0" borderId="3" xfId="4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 applyBorder="1"/>
    <xf numFmtId="0" fontId="9" fillId="0" borderId="0" xfId="0" applyFont="1" applyAlignment="1">
      <alignment horizontal="left" vertical="center" wrapText="1"/>
    </xf>
    <xf numFmtId="167" fontId="4" fillId="0" borderId="0" xfId="4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 vertical="center"/>
    </xf>
    <xf numFmtId="165" fontId="4" fillId="0" borderId="1" xfId="4" applyNumberFormat="1" applyFont="1" applyFill="1" applyBorder="1" applyAlignment="1" applyProtection="1">
      <protection locked="0"/>
    </xf>
    <xf numFmtId="166" fontId="4" fillId="0" borderId="2" xfId="4" applyNumberFormat="1" applyFont="1" applyFill="1" applyBorder="1" applyAlignment="1" applyProtection="1">
      <protection locked="0"/>
    </xf>
    <xf numFmtId="0" fontId="11" fillId="0" borderId="1" xfId="4" applyNumberFormat="1" applyFont="1" applyFill="1" applyBorder="1" applyAlignment="1" applyProtection="1">
      <alignment horizontal="center"/>
      <protection hidden="1"/>
    </xf>
    <xf numFmtId="0" fontId="9" fillId="0" borderId="0" xfId="0" applyFont="1"/>
    <xf numFmtId="166" fontId="4" fillId="0" borderId="1" xfId="0" applyNumberFormat="1" applyFont="1" applyBorder="1" applyAlignment="1">
      <alignment horizontal="right"/>
    </xf>
    <xf numFmtId="0" fontId="21" fillId="0" borderId="0" xfId="0" applyFont="1" applyAlignment="1"/>
    <xf numFmtId="164" fontId="0" fillId="0" borderId="0" xfId="0" applyNumberFormat="1" applyBorder="1"/>
    <xf numFmtId="0" fontId="4" fillId="0" borderId="0" xfId="4" applyNumberFormat="1" applyFont="1" applyFill="1" applyBorder="1" applyAlignment="1" applyProtection="1">
      <alignment horizontal="left"/>
      <protection hidden="1"/>
    </xf>
    <xf numFmtId="164" fontId="4" fillId="0" borderId="0" xfId="4" applyNumberFormat="1" applyFont="1" applyFill="1" applyBorder="1" applyAlignment="1" applyProtection="1">
      <protection hidden="1"/>
    </xf>
    <xf numFmtId="49" fontId="14" fillId="0" borderId="6" xfId="4" applyNumberFormat="1" applyFont="1" applyFill="1" applyBorder="1" applyAlignment="1" applyProtection="1">
      <alignment horizontal="center"/>
      <protection hidden="1"/>
    </xf>
    <xf numFmtId="0" fontId="14" fillId="0" borderId="7" xfId="4" applyNumberFormat="1" applyFont="1" applyFill="1" applyBorder="1" applyAlignment="1" applyProtection="1">
      <alignment horizontal="center"/>
      <protection hidden="1"/>
    </xf>
    <xf numFmtId="164" fontId="14" fillId="0" borderId="7" xfId="4" applyNumberFormat="1" applyFont="1" applyFill="1" applyBorder="1" applyAlignment="1" applyProtection="1">
      <alignment horizontal="center"/>
      <protection hidden="1"/>
    </xf>
    <xf numFmtId="164" fontId="14" fillId="0" borderId="8" xfId="4" applyNumberFormat="1" applyFont="1" applyFill="1" applyBorder="1" applyAlignment="1" applyProtection="1">
      <alignment horizontal="center"/>
      <protection hidden="1"/>
    </xf>
    <xf numFmtId="164" fontId="14" fillId="0" borderId="0" xfId="4" applyNumberFormat="1" applyFont="1" applyFill="1" applyBorder="1" applyAlignment="1" applyProtection="1">
      <alignment horizontal="right"/>
      <protection hidden="1"/>
    </xf>
    <xf numFmtId="0" fontId="4" fillId="0" borderId="9" xfId="4" applyNumberFormat="1" applyFont="1" applyFill="1" applyBorder="1" applyAlignment="1" applyProtection="1">
      <alignment horizontal="center"/>
      <protection hidden="1"/>
    </xf>
    <xf numFmtId="168" fontId="4" fillId="0" borderId="10" xfId="4" applyNumberFormat="1" applyFont="1" applyFill="1" applyBorder="1" applyAlignment="1" applyProtection="1">
      <alignment horizontal="right"/>
      <protection hidden="1"/>
    </xf>
    <xf numFmtId="169" fontId="4" fillId="0" borderId="10" xfId="4" applyNumberFormat="1" applyFont="1" applyFill="1" applyBorder="1" applyAlignment="1" applyProtection="1">
      <alignment horizontal="right"/>
      <protection locked="0"/>
    </xf>
    <xf numFmtId="167" fontId="4" fillId="0" borderId="10" xfId="4" applyNumberFormat="1" applyFont="1" applyFill="1" applyBorder="1" applyAlignment="1" applyProtection="1">
      <alignment horizontal="center" vertical="center"/>
      <protection hidden="1"/>
    </xf>
    <xf numFmtId="164" fontId="15" fillId="0" borderId="0" xfId="4" applyNumberFormat="1" applyFont="1" applyFill="1" applyBorder="1" applyAlignment="1" applyProtection="1">
      <protection hidden="1"/>
    </xf>
    <xf numFmtId="2" fontId="0" fillId="0" borderId="0" xfId="0" applyNumberFormat="1"/>
    <xf numFmtId="0" fontId="0" fillId="0" borderId="0" xfId="0" applyBorder="1"/>
    <xf numFmtId="0" fontId="4" fillId="0" borderId="12" xfId="4" applyNumberFormat="1" applyFont="1" applyFill="1" applyBorder="1" applyAlignment="1" applyProtection="1">
      <alignment horizontal="center"/>
      <protection hidden="1"/>
    </xf>
    <xf numFmtId="168" fontId="4" fillId="0" borderId="13" xfId="4" applyNumberFormat="1" applyFont="1" applyFill="1" applyBorder="1" applyAlignment="1" applyProtection="1">
      <alignment horizontal="right"/>
      <protection hidden="1"/>
    </xf>
    <xf numFmtId="169" fontId="4" fillId="0" borderId="13" xfId="4" applyNumberFormat="1" applyFont="1" applyFill="1" applyBorder="1" applyAlignment="1" applyProtection="1">
      <alignment horizontal="right"/>
      <protection locked="0"/>
    </xf>
    <xf numFmtId="164" fontId="13" fillId="0" borderId="13" xfId="4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2" xfId="0" applyFont="1" applyBorder="1" applyAlignment="1">
      <alignment horizontal="left"/>
    </xf>
    <xf numFmtId="0" fontId="0" fillId="0" borderId="15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22" xfId="0" applyFill="1" applyBorder="1"/>
    <xf numFmtId="0" fontId="22" fillId="0" borderId="0" xfId="0" applyFont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0" fontId="4" fillId="0" borderId="0" xfId="0" applyNumberFormat="1" applyFont="1" applyBorder="1" applyAlignment="1">
      <alignment horizontal="left" vertical="center" shrinkToFit="1"/>
    </xf>
    <xf numFmtId="165" fontId="20" fillId="2" borderId="4" xfId="4" applyNumberFormat="1" applyFont="1" applyFill="1" applyBorder="1" applyAlignment="1" applyProtection="1">
      <alignment vertical="center"/>
      <protection locked="0"/>
    </xf>
    <xf numFmtId="166" fontId="20" fillId="2" borderId="5" xfId="4" applyNumberFormat="1" applyFont="1" applyFill="1" applyBorder="1" applyAlignment="1" applyProtection="1">
      <alignment vertical="center"/>
      <protection locked="0"/>
    </xf>
    <xf numFmtId="0" fontId="9" fillId="0" borderId="0" xfId="0" applyFont="1" applyFill="1"/>
    <xf numFmtId="1" fontId="0" fillId="0" borderId="0" xfId="0" applyNumberFormat="1"/>
    <xf numFmtId="0" fontId="0" fillId="0" borderId="0" xfId="0" applyFont="1"/>
    <xf numFmtId="0" fontId="0" fillId="0" borderId="0" xfId="0" applyAlignment="1"/>
    <xf numFmtId="0" fontId="0" fillId="6" borderId="20" xfId="0" applyFill="1" applyBorder="1"/>
    <xf numFmtId="0" fontId="0" fillId="6" borderId="22" xfId="0" applyFill="1" applyBorder="1"/>
    <xf numFmtId="0" fontId="0" fillId="0" borderId="0" xfId="0" applyFont="1" applyFill="1"/>
    <xf numFmtId="0" fontId="0" fillId="0" borderId="0" xfId="0" applyFont="1" applyBorder="1"/>
    <xf numFmtId="0" fontId="0" fillId="0" borderId="0" xfId="0" applyFill="1" applyBorder="1" applyAlignment="1"/>
    <xf numFmtId="2" fontId="0" fillId="0" borderId="15" xfId="0" applyNumberFormat="1" applyBorder="1"/>
    <xf numFmtId="2" fontId="0" fillId="0" borderId="20" xfId="0" applyNumberFormat="1" applyBorder="1"/>
    <xf numFmtId="0" fontId="0" fillId="7" borderId="22" xfId="0" applyFill="1" applyBorder="1"/>
    <xf numFmtId="169" fontId="0" fillId="0" borderId="0" xfId="0" applyNumberFormat="1" applyBorder="1"/>
    <xf numFmtId="169" fontId="0" fillId="0" borderId="21" xfId="0" applyNumberFormat="1" applyBorder="1"/>
    <xf numFmtId="0" fontId="0" fillId="0" borderId="0" xfId="0" applyBorder="1" applyAlignment="1"/>
    <xf numFmtId="0" fontId="0" fillId="0" borderId="19" xfId="0" applyBorder="1" applyAlignment="1"/>
    <xf numFmtId="0" fontId="0" fillId="0" borderId="31" xfId="0" applyBorder="1"/>
    <xf numFmtId="0" fontId="0" fillId="0" borderId="33" xfId="0" applyBorder="1"/>
    <xf numFmtId="0" fontId="0" fillId="0" borderId="32" xfId="0" applyBorder="1"/>
    <xf numFmtId="170" fontId="0" fillId="0" borderId="0" xfId="0" applyNumberFormat="1" applyFill="1" applyBorder="1"/>
    <xf numFmtId="0" fontId="9" fillId="0" borderId="0" xfId="0" applyFont="1" applyAlignment="1">
      <alignment shrinkToFit="1"/>
    </xf>
    <xf numFmtId="1" fontId="0" fillId="0" borderId="0" xfId="0" applyNumberFormat="1" applyBorder="1"/>
    <xf numFmtId="2" fontId="0" fillId="5" borderId="0" xfId="0" applyNumberFormat="1" applyFill="1" applyBorder="1"/>
    <xf numFmtId="2" fontId="0" fillId="7" borderId="19" xfId="0" applyNumberFormat="1" applyFill="1" applyBorder="1"/>
    <xf numFmtId="2" fontId="0" fillId="0" borderId="19" xfId="0" applyNumberFormat="1" applyBorder="1"/>
    <xf numFmtId="0" fontId="0" fillId="0" borderId="0" xfId="0" applyFill="1" applyAlignment="1"/>
    <xf numFmtId="2" fontId="0" fillId="0" borderId="0" xfId="0" applyNumberFormat="1" applyFill="1" applyBorder="1" applyAlignment="1"/>
    <xf numFmtId="1" fontId="0" fillId="0" borderId="18" xfId="0" applyNumberFormat="1" applyBorder="1"/>
    <xf numFmtId="0" fontId="0" fillId="5" borderId="0" xfId="0" applyFont="1" applyFill="1" applyBorder="1"/>
    <xf numFmtId="2" fontId="0" fillId="0" borderId="0" xfId="0" applyNumberFormat="1" applyFont="1" applyFill="1" applyBorder="1"/>
    <xf numFmtId="0" fontId="0" fillId="8" borderId="15" xfId="0" applyFill="1" applyBorder="1" applyAlignment="1">
      <alignment horizontal="center" vertical="center"/>
    </xf>
    <xf numFmtId="2" fontId="0" fillId="0" borderId="18" xfId="0" applyNumberFormat="1" applyFill="1" applyBorder="1"/>
    <xf numFmtId="2" fontId="0" fillId="0" borderId="19" xfId="0" applyNumberFormat="1" applyFill="1" applyBorder="1"/>
    <xf numFmtId="2" fontId="0" fillId="0" borderId="22" xfId="0" applyNumberFormat="1" applyBorder="1"/>
    <xf numFmtId="0" fontId="0" fillId="8" borderId="16" xfId="0" applyFill="1" applyBorder="1" applyAlignment="1">
      <alignment horizontal="center" vertical="center"/>
    </xf>
    <xf numFmtId="0" fontId="0" fillId="8" borderId="16" xfId="0" applyFill="1" applyBorder="1"/>
    <xf numFmtId="0" fontId="0" fillId="8" borderId="17" xfId="0" applyFill="1" applyBorder="1"/>
    <xf numFmtId="164" fontId="0" fillId="0" borderId="18" xfId="0" applyNumberFormat="1" applyBorder="1"/>
    <xf numFmtId="2" fontId="0" fillId="0" borderId="18" xfId="0" applyNumberFormat="1" applyBorder="1"/>
    <xf numFmtId="0" fontId="0" fillId="0" borderId="0" xfId="0" applyNumberFormat="1" applyFont="1"/>
    <xf numFmtId="2" fontId="0" fillId="0" borderId="0" xfId="0" applyNumberFormat="1" applyFont="1"/>
    <xf numFmtId="0" fontId="0" fillId="0" borderId="0" xfId="0" applyNumberFormat="1" applyFont="1" applyFill="1"/>
    <xf numFmtId="171" fontId="0" fillId="0" borderId="0" xfId="0" applyNumberFormat="1" applyFont="1"/>
    <xf numFmtId="164" fontId="0" fillId="0" borderId="19" xfId="0" applyNumberFormat="1" applyBorder="1"/>
    <xf numFmtId="0" fontId="0" fillId="8" borderId="31" xfId="0" applyFill="1" applyBorder="1" applyAlignment="1">
      <alignment horizontal="center"/>
    </xf>
    <xf numFmtId="0" fontId="0" fillId="0" borderId="33" xfId="0" applyFill="1" applyBorder="1"/>
    <xf numFmtId="2" fontId="0" fillId="0" borderId="33" xfId="0" applyNumberFormat="1" applyFill="1" applyBorder="1"/>
    <xf numFmtId="169" fontId="0" fillId="0" borderId="0" xfId="0" applyNumberFormat="1" applyFill="1" applyBorder="1"/>
    <xf numFmtId="167" fontId="0" fillId="0" borderId="0" xfId="0" applyNumberFormat="1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  <xf numFmtId="168" fontId="0" fillId="0" borderId="18" xfId="0" applyNumberFormat="1" applyFill="1" applyBorder="1"/>
    <xf numFmtId="168" fontId="0" fillId="0" borderId="20" xfId="0" applyNumberFormat="1" applyFill="1" applyBorder="1"/>
    <xf numFmtId="169" fontId="0" fillId="0" borderId="21" xfId="0" applyNumberFormat="1" applyFill="1" applyBorder="1"/>
    <xf numFmtId="167" fontId="0" fillId="0" borderId="21" xfId="0" applyNumberFormat="1" applyFill="1" applyBorder="1"/>
    <xf numFmtId="2" fontId="4" fillId="0" borderId="10" xfId="4" applyNumberFormat="1" applyFont="1" applyFill="1" applyBorder="1" applyAlignment="1" applyProtection="1">
      <alignment horizontal="center" vertical="center"/>
      <protection hidden="1"/>
    </xf>
    <xf numFmtId="167" fontId="4" fillId="0" borderId="13" xfId="4" applyNumberFormat="1" applyFont="1" applyFill="1" applyBorder="1" applyAlignment="1" applyProtection="1">
      <alignment horizontal="center" vertical="center"/>
      <protection hidden="1"/>
    </xf>
    <xf numFmtId="167" fontId="4" fillId="0" borderId="23" xfId="4" applyNumberFormat="1" applyFont="1" applyFill="1" applyBorder="1" applyAlignment="1" applyProtection="1">
      <alignment horizontal="center" vertical="center"/>
      <protection hidden="1"/>
    </xf>
    <xf numFmtId="2" fontId="4" fillId="0" borderId="23" xfId="4" applyNumberFormat="1" applyFont="1" applyFill="1" applyBorder="1" applyAlignment="1" applyProtection="1">
      <alignment horizontal="center" vertical="center"/>
      <protection hidden="1"/>
    </xf>
    <xf numFmtId="0" fontId="0" fillId="0" borderId="29" xfId="0" applyFill="1" applyBorder="1"/>
    <xf numFmtId="2" fontId="0" fillId="0" borderId="31" xfId="0" applyNumberFormat="1" applyFill="1" applyBorder="1"/>
    <xf numFmtId="2" fontId="0" fillId="7" borderId="32" xfId="0" applyNumberFormat="1" applyFill="1" applyBorder="1"/>
    <xf numFmtId="164" fontId="0" fillId="7" borderId="32" xfId="0" applyNumberFormat="1" applyFill="1" applyBorder="1"/>
    <xf numFmtId="170" fontId="0" fillId="0" borderId="15" xfId="0" applyNumberFormat="1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24" fillId="0" borderId="0" xfId="0" applyFont="1"/>
    <xf numFmtId="2" fontId="0" fillId="7" borderId="0" xfId="0" applyNumberFormat="1" applyFill="1"/>
    <xf numFmtId="2" fontId="0" fillId="0" borderId="16" xfId="0" applyNumberFormat="1" applyBorder="1"/>
    <xf numFmtId="2" fontId="0" fillId="0" borderId="17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Border="1"/>
    <xf numFmtId="2" fontId="0" fillId="0" borderId="17" xfId="0" applyNumberFormat="1" applyFill="1" applyBorder="1"/>
    <xf numFmtId="168" fontId="0" fillId="0" borderId="15" xfId="0" applyNumberFormat="1" applyFill="1" applyBorder="1"/>
    <xf numFmtId="169" fontId="0" fillId="0" borderId="16" xfId="0" applyNumberFormat="1" applyFill="1" applyBorder="1"/>
    <xf numFmtId="167" fontId="0" fillId="0" borderId="16" xfId="0" applyNumberFormat="1" applyFill="1" applyBorder="1"/>
    <xf numFmtId="2" fontId="0" fillId="0" borderId="16" xfId="0" applyNumberFormat="1" applyFill="1" applyBorder="1"/>
    <xf numFmtId="2" fontId="0" fillId="0" borderId="21" xfId="0" applyNumberFormat="1" applyBorder="1"/>
    <xf numFmtId="0" fontId="0" fillId="0" borderId="0" xfId="0" applyAlignment="1">
      <alignment horizontal="right"/>
    </xf>
    <xf numFmtId="167" fontId="4" fillId="0" borderId="23" xfId="0" applyNumberFormat="1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1" xfId="0" applyFill="1" applyBorder="1"/>
    <xf numFmtId="16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2" fontId="0" fillId="0" borderId="35" xfId="0" applyNumberFormat="1" applyBorder="1"/>
    <xf numFmtId="2" fontId="0" fillId="0" borderId="36" xfId="0" applyNumberFormat="1" applyBorder="1"/>
    <xf numFmtId="167" fontId="0" fillId="0" borderId="36" xfId="0" applyNumberFormat="1" applyBorder="1"/>
    <xf numFmtId="166" fontId="25" fillId="3" borderId="36" xfId="0" applyNumberFormat="1" applyFont="1" applyFill="1" applyBorder="1"/>
    <xf numFmtId="165" fontId="25" fillId="3" borderId="36" xfId="0" applyNumberFormat="1" applyFont="1" applyFill="1" applyBorder="1"/>
    <xf numFmtId="0" fontId="4" fillId="0" borderId="37" xfId="4" applyNumberFormat="1" applyFont="1" applyFill="1" applyBorder="1" applyAlignment="1" applyProtection="1">
      <alignment horizontal="center"/>
      <protection hidden="1"/>
    </xf>
    <xf numFmtId="2" fontId="0" fillId="0" borderId="38" xfId="0" applyNumberFormat="1" applyBorder="1"/>
    <xf numFmtId="2" fontId="0" fillId="0" borderId="39" xfId="0" applyNumberFormat="1" applyBorder="1"/>
    <xf numFmtId="167" fontId="0" fillId="0" borderId="39" xfId="0" applyNumberFormat="1" applyBorder="1"/>
    <xf numFmtId="166" fontId="25" fillId="3" borderId="39" xfId="0" applyNumberFormat="1" applyFont="1" applyFill="1" applyBorder="1"/>
    <xf numFmtId="165" fontId="25" fillId="3" borderId="39" xfId="0" applyNumberFormat="1" applyFont="1" applyFill="1" applyBorder="1"/>
    <xf numFmtId="0" fontId="4" fillId="0" borderId="40" xfId="4" applyNumberFormat="1" applyFont="1" applyFill="1" applyBorder="1" applyAlignment="1" applyProtection="1">
      <alignment horizontal="center"/>
      <protection hidden="1"/>
    </xf>
    <xf numFmtId="0" fontId="0" fillId="0" borderId="40" xfId="0" applyBorder="1" applyAlignment="1">
      <alignment horizontal="center"/>
    </xf>
    <xf numFmtId="164" fontId="14" fillId="0" borderId="41" xfId="4" applyNumberFormat="1" applyFont="1" applyFill="1" applyBorder="1" applyAlignment="1" applyProtection="1">
      <alignment horizontal="center"/>
      <protection hidden="1"/>
    </xf>
    <xf numFmtId="164" fontId="14" fillId="0" borderId="42" xfId="4" applyNumberFormat="1" applyFont="1" applyFill="1" applyBorder="1" applyAlignment="1" applyProtection="1">
      <alignment horizontal="center"/>
      <protection hidden="1"/>
    </xf>
    <xf numFmtId="0" fontId="14" fillId="0" borderId="42" xfId="4" applyNumberFormat="1" applyFont="1" applyFill="1" applyBorder="1" applyAlignment="1" applyProtection="1">
      <alignment horizontal="center"/>
      <protection hidden="1"/>
    </xf>
    <xf numFmtId="49" fontId="14" fillId="0" borderId="43" xfId="4" applyNumberFormat="1" applyFont="1" applyFill="1" applyBorder="1" applyAlignment="1" applyProtection="1">
      <alignment horizontal="center"/>
      <protection hidden="1"/>
    </xf>
    <xf numFmtId="174" fontId="0" fillId="0" borderId="18" xfId="0" applyNumberFormat="1" applyBorder="1"/>
    <xf numFmtId="173" fontId="0" fillId="0" borderId="0" xfId="0" applyNumberFormat="1" applyBorder="1"/>
    <xf numFmtId="174" fontId="0" fillId="0" borderId="20" xfId="0" applyNumberFormat="1" applyBorder="1"/>
    <xf numFmtId="173" fontId="0" fillId="0" borderId="21" xfId="0" applyNumberFormat="1" applyBorder="1"/>
    <xf numFmtId="2" fontId="0" fillId="0" borderId="33" xfId="0" applyNumberFormat="1" applyBorder="1"/>
    <xf numFmtId="172" fontId="0" fillId="0" borderId="0" xfId="0" applyNumberFormat="1" applyFill="1" applyBorder="1"/>
    <xf numFmtId="172" fontId="0" fillId="0" borderId="21" xfId="0" applyNumberFormat="1" applyFill="1" applyBorder="1"/>
    <xf numFmtId="175" fontId="0" fillId="0" borderId="0" xfId="0" applyNumberFormat="1" applyBorder="1"/>
    <xf numFmtId="0" fontId="0" fillId="0" borderId="0" xfId="0" applyFont="1" applyBorder="1" applyAlignment="1"/>
    <xf numFmtId="0" fontId="0" fillId="0" borderId="0" xfId="0" applyNumberFormat="1" applyFont="1" applyBorder="1"/>
    <xf numFmtId="2" fontId="0" fillId="0" borderId="0" xfId="0" applyNumberFormat="1" applyFont="1" applyBorder="1"/>
    <xf numFmtId="164" fontId="0" fillId="0" borderId="0" xfId="0" applyNumberFormat="1" applyFont="1" applyBorder="1"/>
    <xf numFmtId="0" fontId="23" fillId="0" borderId="0" xfId="0" applyFont="1" applyBorder="1"/>
    <xf numFmtId="0" fontId="4" fillId="0" borderId="0" xfId="0" applyNumberFormat="1" applyFont="1" applyBorder="1"/>
    <xf numFmtId="0" fontId="0" fillId="0" borderId="0" xfId="0" applyFont="1" applyFill="1" applyBorder="1"/>
    <xf numFmtId="1" fontId="0" fillId="0" borderId="33" xfId="0" applyNumberFormat="1" applyBorder="1"/>
    <xf numFmtId="0" fontId="0" fillId="0" borderId="0" xfId="0" quotePrefix="1"/>
    <xf numFmtId="172" fontId="4" fillId="0" borderId="0" xfId="4" applyNumberFormat="1" applyFont="1" applyFill="1" applyBorder="1" applyAlignment="1" applyProtection="1">
      <protection hidden="1"/>
    </xf>
    <xf numFmtId="0" fontId="7" fillId="0" borderId="44" xfId="4" applyNumberFormat="1" applyFont="1" applyFill="1" applyBorder="1" applyAlignment="1" applyProtection="1">
      <alignment horizontal="center"/>
      <protection hidden="1"/>
    </xf>
    <xf numFmtId="176" fontId="0" fillId="0" borderId="21" xfId="0" applyNumberFormat="1" applyFill="1" applyBorder="1"/>
    <xf numFmtId="0" fontId="0" fillId="10" borderId="18" xfId="0" applyFill="1" applyBorder="1"/>
    <xf numFmtId="0" fontId="0" fillId="10" borderId="20" xfId="0" applyFill="1" applyBorder="1"/>
    <xf numFmtId="0" fontId="0" fillId="10" borderId="22" xfId="0" applyFill="1" applyBorder="1"/>
    <xf numFmtId="2" fontId="0" fillId="0" borderId="0" xfId="0" applyNumberFormat="1" applyFill="1"/>
    <xf numFmtId="0" fontId="0" fillId="0" borderId="17" xfId="0" applyFont="1" applyBorder="1" applyAlignment="1"/>
    <xf numFmtId="0" fontId="0" fillId="0" borderId="19" xfId="0" applyFont="1" applyBorder="1" applyAlignment="1"/>
    <xf numFmtId="0" fontId="0" fillId="0" borderId="19" xfId="0" applyFont="1" applyBorder="1"/>
    <xf numFmtId="0" fontId="5" fillId="0" borderId="0" xfId="4" applyNumberFormat="1" applyFont="1" applyFill="1" applyBorder="1" applyAlignment="1" applyProtection="1">
      <alignment horizontal="right"/>
      <protection hidden="1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20" fillId="3" borderId="45" xfId="4" applyNumberFormat="1" applyFont="1" applyFill="1" applyBorder="1" applyAlignment="1" applyProtection="1">
      <alignment vertical="center"/>
      <protection locked="0"/>
    </xf>
    <xf numFmtId="165" fontId="20" fillId="3" borderId="45" xfId="4" applyNumberFormat="1" applyFont="1" applyFill="1" applyBorder="1" applyAlignment="1" applyProtection="1">
      <alignment vertical="center"/>
      <protection hidden="1"/>
    </xf>
    <xf numFmtId="166" fontId="4" fillId="0" borderId="2" xfId="0" applyNumberFormat="1" applyFont="1" applyBorder="1" applyAlignment="1">
      <alignment horizontal="right"/>
    </xf>
    <xf numFmtId="1" fontId="0" fillId="0" borderId="0" xfId="0" applyNumberFormat="1" applyFont="1" applyBorder="1" applyAlignment="1"/>
    <xf numFmtId="1" fontId="0" fillId="0" borderId="0" xfId="0" applyNumberFormat="1" applyFill="1" applyBorder="1"/>
    <xf numFmtId="1" fontId="15" fillId="0" borderId="0" xfId="4" applyNumberFormat="1" applyFont="1" applyFill="1" applyBorder="1" applyAlignment="1" applyProtection="1">
      <protection hidden="1"/>
    </xf>
    <xf numFmtId="1" fontId="4" fillId="0" borderId="0" xfId="4" applyNumberFormat="1" applyFont="1" applyFill="1" applyBorder="1" applyAlignment="1" applyProtection="1">
      <protection hidden="1"/>
    </xf>
    <xf numFmtId="1" fontId="14" fillId="0" borderId="0" xfId="4" applyNumberFormat="1" applyFont="1" applyFill="1" applyBorder="1" applyAlignment="1" applyProtection="1">
      <alignment horizontal="right"/>
      <protection hidden="1"/>
    </xf>
    <xf numFmtId="2" fontId="10" fillId="0" borderId="0" xfId="0" applyNumberFormat="1" applyFont="1" applyBorder="1" applyAlignment="1">
      <alignment horizontal="center" vertical="center" shrinkToFit="1"/>
    </xf>
    <xf numFmtId="2" fontId="4" fillId="0" borderId="2" xfId="4" applyNumberFormat="1" applyFont="1" applyFill="1" applyBorder="1" applyAlignment="1" applyProtection="1">
      <alignment horizontal="center" shrinkToFit="1"/>
      <protection hidden="1"/>
    </xf>
    <xf numFmtId="168" fontId="20" fillId="2" borderId="4" xfId="4" applyNumberFormat="1" applyFont="1" applyFill="1" applyBorder="1" applyAlignment="1" applyProtection="1">
      <alignment vertical="center"/>
      <protection locked="0"/>
    </xf>
    <xf numFmtId="169" fontId="20" fillId="2" borderId="2" xfId="4" applyNumberFormat="1" applyFont="1" applyFill="1" applyBorder="1" applyAlignment="1" applyProtection="1">
      <alignment vertical="center"/>
      <protection locked="0"/>
    </xf>
    <xf numFmtId="0" fontId="12" fillId="0" borderId="0" xfId="4" applyNumberFormat="1" applyFont="1" applyFill="1" applyBorder="1" applyAlignment="1" applyProtection="1">
      <protection hidden="1"/>
    </xf>
    <xf numFmtId="2" fontId="4" fillId="0" borderId="11" xfId="4" applyNumberFormat="1" applyFont="1" applyFill="1" applyBorder="1" applyAlignment="1" applyProtection="1">
      <alignment horizontal="center" vertical="center"/>
      <protection hidden="1"/>
    </xf>
    <xf numFmtId="2" fontId="13" fillId="0" borderId="14" xfId="4" applyNumberFormat="1" applyFont="1" applyFill="1" applyBorder="1" applyAlignment="1" applyProtection="1">
      <alignment horizontal="center" vertical="center"/>
      <protection hidden="1"/>
    </xf>
    <xf numFmtId="1" fontId="27" fillId="0" borderId="0" xfId="0" applyNumberFormat="1" applyFont="1"/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5" xfId="0" applyFill="1" applyBorder="1"/>
    <xf numFmtId="0" fontId="0" fillId="4" borderId="20" xfId="0" applyFill="1" applyBorder="1"/>
    <xf numFmtId="0" fontId="0" fillId="0" borderId="16" xfId="0" applyFill="1" applyBorder="1"/>
    <xf numFmtId="2" fontId="0" fillId="7" borderId="0" xfId="0" applyNumberFormat="1" applyFill="1" applyBorder="1"/>
    <xf numFmtId="2" fontId="0" fillId="7" borderId="33" xfId="0" applyNumberFormat="1" applyFill="1" applyBorder="1"/>
    <xf numFmtId="0" fontId="0" fillId="0" borderId="31" xfId="0" applyBorder="1" applyAlignment="1">
      <alignment horizontal="center"/>
    </xf>
    <xf numFmtId="0" fontId="0" fillId="0" borderId="34" xfId="0" applyBorder="1"/>
    <xf numFmtId="0" fontId="0" fillId="0" borderId="21" xfId="0" applyBorder="1" applyAlignment="1">
      <alignment horizontal="center"/>
    </xf>
    <xf numFmtId="0" fontId="0" fillId="0" borderId="16" xfId="0" applyBorder="1" applyAlignment="1">
      <alignment horizontal="center"/>
    </xf>
    <xf numFmtId="169" fontId="0" fillId="0" borderId="16" xfId="0" applyNumberFormat="1" applyBorder="1"/>
    <xf numFmtId="0" fontId="0" fillId="4" borderId="31" xfId="0" applyFill="1" applyBorder="1"/>
    <xf numFmtId="0" fontId="0" fillId="4" borderId="32" xfId="0" applyFill="1" applyBorder="1"/>
    <xf numFmtId="0" fontId="0" fillId="0" borderId="28" xfId="0" applyFill="1" applyBorder="1"/>
    <xf numFmtId="2" fontId="0" fillId="10" borderId="31" xfId="0" applyNumberFormat="1" applyFill="1" applyBorder="1"/>
    <xf numFmtId="2" fontId="0" fillId="10" borderId="32" xfId="0" applyNumberFormat="1" applyFill="1" applyBorder="1"/>
    <xf numFmtId="0" fontId="10" fillId="0" borderId="26" xfId="4" applyNumberFormat="1" applyFont="1" applyFill="1" applyBorder="1" applyAlignment="1" applyProtection="1">
      <alignment horizontal="right"/>
      <protection hidden="1"/>
    </xf>
    <xf numFmtId="0" fontId="29" fillId="0" borderId="0" xfId="0" applyFont="1"/>
    <xf numFmtId="0" fontId="30" fillId="0" borderId="0" xfId="0" applyFont="1" applyAlignment="1">
      <alignment horizontal="right"/>
    </xf>
    <xf numFmtId="168" fontId="31" fillId="0" borderId="0" xfId="0" applyNumberFormat="1" applyFont="1" applyBorder="1"/>
    <xf numFmtId="169" fontId="31" fillId="0" borderId="0" xfId="0" applyNumberFormat="1" applyFont="1" applyBorder="1"/>
    <xf numFmtId="0" fontId="31" fillId="0" borderId="0" xfId="0" applyNumberFormat="1" applyFont="1" applyAlignment="1">
      <alignment horizontal="center"/>
    </xf>
    <xf numFmtId="166" fontId="28" fillId="0" borderId="0" xfId="4" applyNumberFormat="1" applyFont="1" applyFill="1" applyBorder="1" applyAlignment="1" applyProtection="1">
      <alignment horizontal="left" vertical="center"/>
      <protection locked="0"/>
    </xf>
    <xf numFmtId="0" fontId="10" fillId="0" borderId="0" xfId="4" applyNumberFormat="1" applyFont="1" applyFill="1" applyBorder="1" applyAlignment="1" applyProtection="1">
      <alignment horizontal="right"/>
      <protection hidden="1"/>
    </xf>
    <xf numFmtId="0" fontId="10" fillId="0" borderId="26" xfId="4" applyNumberFormat="1" applyFont="1" applyFill="1" applyBorder="1" applyAlignment="1" applyProtection="1">
      <alignment horizontal="right"/>
      <protection hidden="1"/>
    </xf>
    <xf numFmtId="0" fontId="2" fillId="0" borderId="0" xfId="4" applyNumberFormat="1" applyFont="1" applyFill="1" applyBorder="1" applyAlignment="1" applyProtection="1">
      <alignment horizontal="center"/>
      <protection hidden="1"/>
    </xf>
    <xf numFmtId="0" fontId="11" fillId="0" borderId="24" xfId="4" applyNumberFormat="1" applyFont="1" applyFill="1" applyBorder="1" applyAlignment="1" applyProtection="1">
      <alignment horizontal="center" vertical="center" wrapText="1"/>
      <protection hidden="1"/>
    </xf>
    <xf numFmtId="0" fontId="11" fillId="0" borderId="27" xfId="4" applyNumberFormat="1" applyFont="1" applyFill="1" applyBorder="1" applyAlignment="1" applyProtection="1">
      <alignment horizontal="center" vertical="center" wrapText="1"/>
      <protection hidden="1"/>
    </xf>
    <xf numFmtId="2" fontId="4" fillId="0" borderId="25" xfId="4" applyNumberFormat="1" applyFont="1" applyFill="1" applyBorder="1" applyAlignment="1" applyProtection="1">
      <alignment horizontal="center" vertical="center"/>
      <protection hidden="1"/>
    </xf>
    <xf numFmtId="2" fontId="4" fillId="0" borderId="26" xfId="4" applyNumberFormat="1" applyFont="1" applyFill="1" applyBorder="1" applyAlignment="1" applyProtection="1">
      <alignment horizontal="center" vertical="center"/>
      <protection hidden="1"/>
    </xf>
    <xf numFmtId="166" fontId="28" fillId="0" borderId="24" xfId="4" applyNumberFormat="1" applyFont="1" applyFill="1" applyBorder="1" applyAlignment="1" applyProtection="1">
      <alignment horizontal="left" vertical="center"/>
      <protection locked="0"/>
    </xf>
    <xf numFmtId="166" fontId="28" fillId="0" borderId="3" xfId="4" applyNumberFormat="1" applyFont="1" applyFill="1" applyBorder="1" applyAlignment="1" applyProtection="1">
      <alignment horizontal="left" vertical="center"/>
      <protection locked="0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32" fillId="0" borderId="0" xfId="0" applyFont="1" applyAlignment="1">
      <alignment horizontal="center"/>
    </xf>
    <xf numFmtId="168" fontId="31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</cellXfs>
  <cellStyles count="7">
    <cellStyle name="Normal" xfId="0" builtinId="0"/>
    <cellStyle name="Normal 2" xfId="1"/>
    <cellStyle name="Normal 2 2" xfId="2"/>
    <cellStyle name="Normal 3" xfId="3"/>
    <cellStyle name="Normal 4" xfId="4"/>
    <cellStyle name="Обычный_TIDE" xfId="5"/>
    <cellStyle name="표준_조석표" xfId="6"/>
  </cellStyles>
  <dxfs count="19">
    <dxf>
      <font>
        <color theme="0" tint="-0.34998626667073579"/>
      </font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b/>
        <i val="0"/>
        <color rgb="FF0000FF"/>
      </font>
      <fill>
        <patternFill>
          <bgColor rgb="FFFF0000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 style="thin">
          <color auto="1"/>
        </top>
        <bottom/>
        <vertical/>
        <horizontal/>
      </border>
    </dxf>
    <dxf>
      <font>
        <color rgb="FF0000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0000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  <color rgb="FF969696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'GREAT CIRCLE'!$K$2</c:f>
              <c:strCache>
                <c:ptCount val="1"/>
                <c:pt idx="0">
                  <c:v>WP Great Circle Sailing</c:v>
                </c:pt>
              </c:strCache>
            </c:strRef>
          </c:tx>
          <c:spPr>
            <a:ln w="19050" cap="sq">
              <a:solidFill>
                <a:schemeClr val="tx1"/>
              </a:solidFill>
              <a:miter lim="800000"/>
              <a:tailEnd type="arrow" w="lg" len="lg"/>
            </a:ln>
          </c:spPr>
          <c:marker>
            <c:symbol val="none"/>
          </c:marker>
          <c:dPt>
            <c:idx val="20"/>
            <c:bubble3D val="0"/>
          </c:dPt>
          <c:xVal>
            <c:numRef>
              <c:f>GC!$BD$25:$BD$75</c:f>
              <c:numCache>
                <c:formatCode>0.00</c:formatCode>
                <c:ptCount val="51"/>
                <c:pt idx="0">
                  <c:v>0</c:v>
                </c:pt>
                <c:pt idx="1">
                  <c:v>23.75</c:v>
                </c:pt>
                <c:pt idx="2">
                  <c:v>47.5</c:v>
                </c:pt>
                <c:pt idx="3">
                  <c:v>71.25</c:v>
                </c:pt>
                <c:pt idx="4">
                  <c:v>95</c:v>
                </c:pt>
                <c:pt idx="5">
                  <c:v>95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95</c:v>
                </c:pt>
                <c:pt idx="22">
                  <c:v>95</c:v>
                </c:pt>
                <c:pt idx="23">
                  <c:v>95</c:v>
                </c:pt>
                <c:pt idx="24">
                  <c:v>95</c:v>
                </c:pt>
                <c:pt idx="25">
                  <c:v>95</c:v>
                </c:pt>
                <c:pt idx="26">
                  <c:v>95</c:v>
                </c:pt>
                <c:pt idx="27">
                  <c:v>95</c:v>
                </c:pt>
                <c:pt idx="28">
                  <c:v>95</c:v>
                </c:pt>
                <c:pt idx="29">
                  <c:v>95</c:v>
                </c:pt>
                <c:pt idx="30">
                  <c:v>95</c:v>
                </c:pt>
                <c:pt idx="31">
                  <c:v>95</c:v>
                </c:pt>
                <c:pt idx="32">
                  <c:v>95</c:v>
                </c:pt>
                <c:pt idx="33">
                  <c:v>95</c:v>
                </c:pt>
                <c:pt idx="34">
                  <c:v>95</c:v>
                </c:pt>
                <c:pt idx="35">
                  <c:v>95</c:v>
                </c:pt>
                <c:pt idx="36">
                  <c:v>95</c:v>
                </c:pt>
                <c:pt idx="37">
                  <c:v>95</c:v>
                </c:pt>
                <c:pt idx="38">
                  <c:v>95</c:v>
                </c:pt>
                <c:pt idx="39">
                  <c:v>95</c:v>
                </c:pt>
                <c:pt idx="40">
                  <c:v>95</c:v>
                </c:pt>
                <c:pt idx="41">
                  <c:v>95</c:v>
                </c:pt>
                <c:pt idx="42">
                  <c:v>95</c:v>
                </c:pt>
                <c:pt idx="43">
                  <c:v>95</c:v>
                </c:pt>
                <c:pt idx="44">
                  <c:v>95</c:v>
                </c:pt>
                <c:pt idx="45">
                  <c:v>95</c:v>
                </c:pt>
                <c:pt idx="46">
                  <c:v>95</c:v>
                </c:pt>
                <c:pt idx="47">
                  <c:v>95</c:v>
                </c:pt>
                <c:pt idx="48">
                  <c:v>95</c:v>
                </c:pt>
                <c:pt idx="49">
                  <c:v>95</c:v>
                </c:pt>
                <c:pt idx="50">
                  <c:v>95</c:v>
                </c:pt>
              </c:numCache>
            </c:numRef>
          </c:xVal>
          <c:yVal>
            <c:numRef>
              <c:f>GC!$BE$25:$BE$75</c:f>
              <c:numCache>
                <c:formatCode>0.00</c:formatCode>
                <c:ptCount val="51"/>
                <c:pt idx="0">
                  <c:v>0</c:v>
                </c:pt>
                <c:pt idx="1">
                  <c:v>5.6666666666666643</c:v>
                </c:pt>
                <c:pt idx="2">
                  <c:v>6</c:v>
                </c:pt>
                <c:pt idx="3">
                  <c:v>1.0833333333333286</c:v>
                </c:pt>
                <c:pt idx="4">
                  <c:v>-11.333333333333336</c:v>
                </c:pt>
                <c:pt idx="5">
                  <c:v>-11.333333333333336</c:v>
                </c:pt>
                <c:pt idx="6">
                  <c:v>-11.333333333333336</c:v>
                </c:pt>
                <c:pt idx="7">
                  <c:v>-11.333333333333336</c:v>
                </c:pt>
                <c:pt idx="8">
                  <c:v>-11.333333333333336</c:v>
                </c:pt>
                <c:pt idx="9">
                  <c:v>-11.333333333333336</c:v>
                </c:pt>
                <c:pt idx="10">
                  <c:v>-11.333333333333336</c:v>
                </c:pt>
                <c:pt idx="11">
                  <c:v>-11.333333333333336</c:v>
                </c:pt>
                <c:pt idx="12">
                  <c:v>-11.333333333333336</c:v>
                </c:pt>
                <c:pt idx="13">
                  <c:v>-11.333333333333336</c:v>
                </c:pt>
                <c:pt idx="14">
                  <c:v>-11.333333333333336</c:v>
                </c:pt>
                <c:pt idx="15">
                  <c:v>-11.333333333333336</c:v>
                </c:pt>
                <c:pt idx="16">
                  <c:v>-11.333333333333336</c:v>
                </c:pt>
                <c:pt idx="17">
                  <c:v>-11.333333333333336</c:v>
                </c:pt>
                <c:pt idx="18">
                  <c:v>-11.333333333333336</c:v>
                </c:pt>
                <c:pt idx="19">
                  <c:v>-11.333333333333336</c:v>
                </c:pt>
                <c:pt idx="20">
                  <c:v>-11.333333333333336</c:v>
                </c:pt>
                <c:pt idx="21">
                  <c:v>-11.333333333333336</c:v>
                </c:pt>
                <c:pt idx="22">
                  <c:v>-11.333333333333336</c:v>
                </c:pt>
                <c:pt idx="23">
                  <c:v>-11.333333333333336</c:v>
                </c:pt>
                <c:pt idx="24">
                  <c:v>-11.333333333333336</c:v>
                </c:pt>
                <c:pt idx="25">
                  <c:v>-11.333333333333336</c:v>
                </c:pt>
                <c:pt idx="26">
                  <c:v>-11.333333333333336</c:v>
                </c:pt>
                <c:pt idx="27">
                  <c:v>-11.333333333333336</c:v>
                </c:pt>
                <c:pt idx="28">
                  <c:v>-11.333333333333336</c:v>
                </c:pt>
                <c:pt idx="29">
                  <c:v>-11.333333333333336</c:v>
                </c:pt>
                <c:pt idx="30">
                  <c:v>-11.333333333333336</c:v>
                </c:pt>
                <c:pt idx="31">
                  <c:v>-11.333333333333336</c:v>
                </c:pt>
                <c:pt idx="32">
                  <c:v>-11.333333333333336</c:v>
                </c:pt>
                <c:pt idx="33">
                  <c:v>-11.333333333333336</c:v>
                </c:pt>
                <c:pt idx="34">
                  <c:v>-11.333333333333336</c:v>
                </c:pt>
                <c:pt idx="35">
                  <c:v>-11.333333333333336</c:v>
                </c:pt>
                <c:pt idx="36">
                  <c:v>-11.333333333333336</c:v>
                </c:pt>
                <c:pt idx="37">
                  <c:v>-11.333333333333336</c:v>
                </c:pt>
                <c:pt idx="38">
                  <c:v>-11.333333333333336</c:v>
                </c:pt>
                <c:pt idx="39">
                  <c:v>-11.333333333333336</c:v>
                </c:pt>
                <c:pt idx="40">
                  <c:v>-11.333333333333336</c:v>
                </c:pt>
                <c:pt idx="41">
                  <c:v>-11.333333333333336</c:v>
                </c:pt>
                <c:pt idx="42">
                  <c:v>-11.333333333333336</c:v>
                </c:pt>
                <c:pt idx="43">
                  <c:v>-11.333333333333336</c:v>
                </c:pt>
                <c:pt idx="44">
                  <c:v>-11.333333333333336</c:v>
                </c:pt>
                <c:pt idx="45">
                  <c:v>-11.333333333333336</c:v>
                </c:pt>
                <c:pt idx="46">
                  <c:v>-11.333333333333336</c:v>
                </c:pt>
                <c:pt idx="47">
                  <c:v>-11.333333333333336</c:v>
                </c:pt>
                <c:pt idx="48">
                  <c:v>-11.333333333333336</c:v>
                </c:pt>
                <c:pt idx="49">
                  <c:v>-11.333333333333336</c:v>
                </c:pt>
                <c:pt idx="50">
                  <c:v>-11.333333333333336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31568"/>
        <c:axId val="256132128"/>
      </c:scatterChart>
      <c:valAx>
        <c:axId val="256131568"/>
        <c:scaling>
          <c:orientation val="minMax"/>
        </c:scaling>
        <c:delete val="1"/>
        <c:axPos val="b"/>
        <c:majorGridlines/>
        <c:numFmt formatCode="0.00" sourceLinked="1"/>
        <c:majorTickMark val="none"/>
        <c:minorTickMark val="none"/>
        <c:tickLblPos val="nextTo"/>
        <c:crossAx val="256132128"/>
        <c:crosses val="autoZero"/>
        <c:crossBetween val="midCat"/>
      </c:valAx>
      <c:valAx>
        <c:axId val="256132128"/>
        <c:scaling>
          <c:orientation val="minMax"/>
        </c:scaling>
        <c:delete val="1"/>
        <c:axPos val="l"/>
        <c:majorGridlines>
          <c:spPr>
            <a:ln w="6350">
              <a:solidFill>
                <a:schemeClr val="tx1"/>
              </a:solidFill>
            </a:ln>
          </c:spPr>
        </c:majorGridlines>
        <c:numFmt formatCode="0.00" sourceLinked="1"/>
        <c:majorTickMark val="none"/>
        <c:minorTickMark val="none"/>
        <c:tickLblPos val="nextTo"/>
        <c:crossAx val="25613156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25" r="0.25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5875">
              <a:solidFill>
                <a:schemeClr val="tx1"/>
              </a:solidFill>
              <a:tailEnd type="arrow" w="lg" len="lg"/>
            </a:ln>
          </c:spPr>
          <c:marker>
            <c:symbol val="none"/>
          </c:marker>
          <c:xVal>
            <c:numRef>
              <c:f>GC!$BH$25:$BH$75</c:f>
              <c:numCache>
                <c:formatCode>0.00</c:formatCode>
                <c:ptCount val="51"/>
                <c:pt idx="0">
                  <c:v>0</c:v>
                </c:pt>
                <c:pt idx="1">
                  <c:v>23.75</c:v>
                </c:pt>
                <c:pt idx="2">
                  <c:v>47.5</c:v>
                </c:pt>
                <c:pt idx="3">
                  <c:v>71.25</c:v>
                </c:pt>
                <c:pt idx="4">
                  <c:v>95</c:v>
                </c:pt>
                <c:pt idx="5">
                  <c:v>95</c:v>
                </c:pt>
                <c:pt idx="6">
                  <c:v>95</c:v>
                </c:pt>
                <c:pt idx="7">
                  <c:v>95</c:v>
                </c:pt>
                <c:pt idx="8">
                  <c:v>95</c:v>
                </c:pt>
                <c:pt idx="9">
                  <c:v>95</c:v>
                </c:pt>
                <c:pt idx="10">
                  <c:v>95</c:v>
                </c:pt>
                <c:pt idx="11">
                  <c:v>95</c:v>
                </c:pt>
                <c:pt idx="12">
                  <c:v>95</c:v>
                </c:pt>
                <c:pt idx="13">
                  <c:v>95</c:v>
                </c:pt>
                <c:pt idx="14">
                  <c:v>95</c:v>
                </c:pt>
                <c:pt idx="15">
                  <c:v>95</c:v>
                </c:pt>
                <c:pt idx="16">
                  <c:v>95</c:v>
                </c:pt>
                <c:pt idx="17">
                  <c:v>95</c:v>
                </c:pt>
                <c:pt idx="18">
                  <c:v>95</c:v>
                </c:pt>
                <c:pt idx="19">
                  <c:v>95</c:v>
                </c:pt>
                <c:pt idx="20">
                  <c:v>95</c:v>
                </c:pt>
                <c:pt idx="21">
                  <c:v>95</c:v>
                </c:pt>
                <c:pt idx="22">
                  <c:v>95</c:v>
                </c:pt>
                <c:pt idx="23">
                  <c:v>95</c:v>
                </c:pt>
                <c:pt idx="24">
                  <c:v>95</c:v>
                </c:pt>
                <c:pt idx="25">
                  <c:v>95</c:v>
                </c:pt>
                <c:pt idx="26">
                  <c:v>95</c:v>
                </c:pt>
                <c:pt idx="27">
                  <c:v>95</c:v>
                </c:pt>
                <c:pt idx="28">
                  <c:v>95</c:v>
                </c:pt>
                <c:pt idx="29">
                  <c:v>95</c:v>
                </c:pt>
                <c:pt idx="30">
                  <c:v>95</c:v>
                </c:pt>
                <c:pt idx="31">
                  <c:v>95</c:v>
                </c:pt>
                <c:pt idx="32">
                  <c:v>95</c:v>
                </c:pt>
                <c:pt idx="33">
                  <c:v>95</c:v>
                </c:pt>
                <c:pt idx="34">
                  <c:v>95</c:v>
                </c:pt>
                <c:pt idx="35">
                  <c:v>95</c:v>
                </c:pt>
                <c:pt idx="36">
                  <c:v>95</c:v>
                </c:pt>
                <c:pt idx="37">
                  <c:v>95</c:v>
                </c:pt>
                <c:pt idx="38">
                  <c:v>95</c:v>
                </c:pt>
                <c:pt idx="39">
                  <c:v>95</c:v>
                </c:pt>
                <c:pt idx="40">
                  <c:v>95</c:v>
                </c:pt>
                <c:pt idx="41">
                  <c:v>95</c:v>
                </c:pt>
                <c:pt idx="42">
                  <c:v>95</c:v>
                </c:pt>
                <c:pt idx="43">
                  <c:v>95</c:v>
                </c:pt>
                <c:pt idx="44">
                  <c:v>95</c:v>
                </c:pt>
                <c:pt idx="45">
                  <c:v>95</c:v>
                </c:pt>
                <c:pt idx="46">
                  <c:v>95</c:v>
                </c:pt>
                <c:pt idx="47">
                  <c:v>95</c:v>
                </c:pt>
                <c:pt idx="48">
                  <c:v>95</c:v>
                </c:pt>
                <c:pt idx="49">
                  <c:v>95</c:v>
                </c:pt>
                <c:pt idx="50">
                  <c:v>95</c:v>
                </c:pt>
              </c:numCache>
            </c:numRef>
          </c:xVal>
          <c:yVal>
            <c:numRef>
              <c:f>GC!$BI$25:$BI$75</c:f>
              <c:numCache>
                <c:formatCode>General</c:formatCode>
                <c:ptCount val="51"/>
                <c:pt idx="0">
                  <c:v>67.10485762665877</c:v>
                </c:pt>
                <c:pt idx="1">
                  <c:v>84.462000765102687</c:v>
                </c:pt>
                <c:pt idx="2">
                  <c:v>85.642598514601303</c:v>
                </c:pt>
                <c:pt idx="3">
                  <c:v>70.074393632494321</c:v>
                </c:pt>
                <c:pt idx="4">
                  <c:v>42.72711060665096</c:v>
                </c:pt>
                <c:pt idx="5">
                  <c:v>42.72711060665096</c:v>
                </c:pt>
                <c:pt idx="6">
                  <c:v>42.72711060665096</c:v>
                </c:pt>
                <c:pt idx="7">
                  <c:v>42.72711060665096</c:v>
                </c:pt>
                <c:pt idx="8">
                  <c:v>42.72711060665096</c:v>
                </c:pt>
                <c:pt idx="9">
                  <c:v>42.72711060665096</c:v>
                </c:pt>
                <c:pt idx="10">
                  <c:v>42.72711060665096</c:v>
                </c:pt>
                <c:pt idx="11">
                  <c:v>42.72711060665096</c:v>
                </c:pt>
                <c:pt idx="12">
                  <c:v>42.72711060665096</c:v>
                </c:pt>
                <c:pt idx="13">
                  <c:v>42.72711060665096</c:v>
                </c:pt>
                <c:pt idx="14">
                  <c:v>42.72711060665096</c:v>
                </c:pt>
                <c:pt idx="15">
                  <c:v>42.72711060665096</c:v>
                </c:pt>
                <c:pt idx="16">
                  <c:v>42.72711060665096</c:v>
                </c:pt>
                <c:pt idx="17">
                  <c:v>42.72711060665096</c:v>
                </c:pt>
                <c:pt idx="18">
                  <c:v>42.72711060665096</c:v>
                </c:pt>
                <c:pt idx="19">
                  <c:v>42.72711060665096</c:v>
                </c:pt>
                <c:pt idx="20">
                  <c:v>42.72711060665096</c:v>
                </c:pt>
                <c:pt idx="21">
                  <c:v>42.72711060665096</c:v>
                </c:pt>
                <c:pt idx="22">
                  <c:v>42.72711060665096</c:v>
                </c:pt>
                <c:pt idx="23">
                  <c:v>42.72711060665096</c:v>
                </c:pt>
                <c:pt idx="24">
                  <c:v>42.72711060665096</c:v>
                </c:pt>
                <c:pt idx="25">
                  <c:v>42.72711060665096</c:v>
                </c:pt>
                <c:pt idx="26">
                  <c:v>42.72711060665096</c:v>
                </c:pt>
                <c:pt idx="27">
                  <c:v>42.72711060665096</c:v>
                </c:pt>
                <c:pt idx="28">
                  <c:v>42.72711060665096</c:v>
                </c:pt>
                <c:pt idx="29">
                  <c:v>42.72711060665096</c:v>
                </c:pt>
                <c:pt idx="30">
                  <c:v>42.72711060665096</c:v>
                </c:pt>
                <c:pt idx="31">
                  <c:v>42.72711060665096</c:v>
                </c:pt>
                <c:pt idx="32">
                  <c:v>42.72711060665096</c:v>
                </c:pt>
                <c:pt idx="33">
                  <c:v>42.72711060665096</c:v>
                </c:pt>
                <c:pt idx="34">
                  <c:v>42.72711060665096</c:v>
                </c:pt>
                <c:pt idx="35">
                  <c:v>42.72711060665096</c:v>
                </c:pt>
                <c:pt idx="36">
                  <c:v>42.72711060665096</c:v>
                </c:pt>
                <c:pt idx="37">
                  <c:v>42.72711060665096</c:v>
                </c:pt>
                <c:pt idx="38">
                  <c:v>42.72711060665096</c:v>
                </c:pt>
                <c:pt idx="39">
                  <c:v>42.72711060665096</c:v>
                </c:pt>
                <c:pt idx="40">
                  <c:v>42.72711060665096</c:v>
                </c:pt>
                <c:pt idx="41">
                  <c:v>42.72711060665096</c:v>
                </c:pt>
                <c:pt idx="42">
                  <c:v>42.72711060665096</c:v>
                </c:pt>
                <c:pt idx="43">
                  <c:v>42.72711060665096</c:v>
                </c:pt>
                <c:pt idx="44">
                  <c:v>42.72711060665096</c:v>
                </c:pt>
                <c:pt idx="45">
                  <c:v>42.72711060665096</c:v>
                </c:pt>
                <c:pt idx="46">
                  <c:v>42.72711060665096</c:v>
                </c:pt>
                <c:pt idx="47">
                  <c:v>42.72711060665096</c:v>
                </c:pt>
                <c:pt idx="48">
                  <c:v>42.72711060665096</c:v>
                </c:pt>
                <c:pt idx="49">
                  <c:v>42.72711060665096</c:v>
                </c:pt>
                <c:pt idx="50">
                  <c:v>42.72711060665096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134368"/>
        <c:axId val="256134928"/>
      </c:scatterChart>
      <c:valAx>
        <c:axId val="256134368"/>
        <c:scaling>
          <c:orientation val="minMax"/>
        </c:scaling>
        <c:delete val="1"/>
        <c:axPos val="b"/>
        <c:majorGridlines/>
        <c:numFmt formatCode="0.00" sourceLinked="1"/>
        <c:majorTickMark val="out"/>
        <c:minorTickMark val="none"/>
        <c:tickLblPos val="nextTo"/>
        <c:crossAx val="256134928"/>
        <c:crosses val="autoZero"/>
        <c:crossBetween val="midCat"/>
      </c:valAx>
      <c:valAx>
        <c:axId val="256134928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2561343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4</xdr:row>
      <xdr:rowOff>66674</xdr:rowOff>
    </xdr:from>
    <xdr:to>
      <xdr:col>12</xdr:col>
      <xdr:colOff>990599</xdr:colOff>
      <xdr:row>37</xdr:row>
      <xdr:rowOff>95250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12</xdr:col>
      <xdr:colOff>971550</xdr:colOff>
      <xdr:row>37</xdr:row>
      <xdr:rowOff>85725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50"/>
  </sheetPr>
  <dimension ref="A1:K62"/>
  <sheetViews>
    <sheetView tabSelected="1" view="pageBreakPreview" topLeftCell="E1" zoomScale="130" zoomScaleNormal="145" zoomScaleSheetLayoutView="130" zoomScalePageLayoutView="160" workbookViewId="0">
      <selection activeCell="K5" sqref="K5"/>
    </sheetView>
  </sheetViews>
  <sheetFormatPr defaultRowHeight="12.75"/>
  <cols>
    <col min="1" max="1" width="8.5703125" customWidth="1"/>
    <col min="2" max="2" width="7" customWidth="1"/>
    <col min="3" max="3" width="13.140625" customWidth="1"/>
    <col min="4" max="4" width="13.28515625" customWidth="1"/>
    <col min="5" max="5" width="11.85546875" customWidth="1"/>
    <col min="6" max="6" width="12.85546875" customWidth="1"/>
    <col min="7" max="7" width="12.28515625" customWidth="1"/>
    <col min="8" max="8" width="10.140625" customWidth="1"/>
    <col min="9" max="9" width="9" customWidth="1"/>
    <col min="10" max="10" width="27.28515625" customWidth="1"/>
    <col min="11" max="11" width="25.5703125" customWidth="1"/>
  </cols>
  <sheetData>
    <row r="1" spans="1:11" ht="13.5" customHeight="1">
      <c r="A1" s="239" t="s">
        <v>0</v>
      </c>
      <c r="B1" s="239"/>
      <c r="C1" s="239"/>
      <c r="D1" s="239"/>
      <c r="E1" s="239"/>
      <c r="F1" s="239"/>
      <c r="G1" s="239"/>
      <c r="H1" s="239"/>
      <c r="I1" s="1"/>
    </row>
    <row r="2" spans="1:11" ht="14.25">
      <c r="B2" s="2"/>
      <c r="C2" s="2"/>
      <c r="D2" s="2"/>
      <c r="E2" s="2"/>
      <c r="F2" s="2"/>
      <c r="G2" s="2"/>
      <c r="H2" s="3"/>
      <c r="I2" s="3" t="s">
        <v>34</v>
      </c>
      <c r="J2" s="16" t="s">
        <v>1</v>
      </c>
      <c r="K2" s="54" t="s">
        <v>74</v>
      </c>
    </row>
    <row r="3" spans="1:11" ht="14.25">
      <c r="B3" s="4"/>
      <c r="C3" s="183" t="s">
        <v>3</v>
      </c>
      <c r="D3" s="5" t="s">
        <v>4</v>
      </c>
      <c r="E3" s="5"/>
      <c r="F3" s="5" t="s">
        <v>5</v>
      </c>
      <c r="G3" s="6" t="s">
        <v>6</v>
      </c>
      <c r="H3" s="7"/>
      <c r="I3" s="3" t="s">
        <v>35</v>
      </c>
      <c r="J3" s="60" t="s">
        <v>54</v>
      </c>
      <c r="K3" s="54" t="s">
        <v>50</v>
      </c>
    </row>
    <row r="4" spans="1:11" ht="15" customHeight="1">
      <c r="A4" s="237" t="s">
        <v>76</v>
      </c>
      <c r="B4" s="238"/>
      <c r="C4" s="206">
        <v>4620</v>
      </c>
      <c r="D4" s="207">
        <v>14030</v>
      </c>
      <c r="E4" s="240" t="s">
        <v>7</v>
      </c>
      <c r="F4" s="8">
        <f>ROUND(GC!G15,1)</f>
        <v>61.3</v>
      </c>
      <c r="G4" s="242">
        <f>ROUND(GC!F15,2)</f>
        <v>4113.28</v>
      </c>
      <c r="I4" s="3" t="s">
        <v>36</v>
      </c>
      <c r="J4" s="10" t="s">
        <v>8</v>
      </c>
      <c r="K4" s="54" t="s">
        <v>33</v>
      </c>
    </row>
    <row r="5" spans="1:11" ht="15" customHeight="1">
      <c r="A5" s="237" t="s">
        <v>10</v>
      </c>
      <c r="B5" s="238"/>
      <c r="C5" s="58">
        <v>3500</v>
      </c>
      <c r="D5" s="59">
        <v>-12430</v>
      </c>
      <c r="E5" s="241"/>
      <c r="F5" s="11">
        <f>ROUND(GC!H15,1)</f>
        <v>132.4</v>
      </c>
      <c r="G5" s="243"/>
      <c r="H5" s="204" t="s">
        <v>79</v>
      </c>
      <c r="I5" s="3" t="s">
        <v>37</v>
      </c>
      <c r="J5" s="12" t="s">
        <v>11</v>
      </c>
      <c r="K5" s="54" t="s">
        <v>28</v>
      </c>
    </row>
    <row r="6" spans="1:11" ht="14.25">
      <c r="A6" s="237" t="s">
        <v>25</v>
      </c>
      <c r="B6" s="238"/>
      <c r="C6" s="13">
        <f>GC!B20</f>
        <v>5244.7534419138565</v>
      </c>
      <c r="D6" s="14">
        <f>GC!C20</f>
        <v>17740.591153555946</v>
      </c>
      <c r="E6" s="15" t="s">
        <v>13</v>
      </c>
      <c r="F6" s="118">
        <f>GC!AY78</f>
        <v>98.9</v>
      </c>
      <c r="G6" s="119">
        <f>ROUND(GC!AZ78,2)</f>
        <v>4372.9799999999996</v>
      </c>
      <c r="H6" s="205">
        <f>ROUND('GREAT CIRCLE'!G4-'GREAT CIRCLE'!G6,2)</f>
        <v>-259.7</v>
      </c>
      <c r="I6" s="3" t="s">
        <v>38</v>
      </c>
      <c r="J6" s="16" t="s">
        <v>14</v>
      </c>
      <c r="K6" s="54" t="s">
        <v>15</v>
      </c>
    </row>
    <row r="7" spans="1:11" ht="14.25" customHeight="1">
      <c r="A7" s="237" t="s">
        <v>26</v>
      </c>
      <c r="B7" s="238"/>
      <c r="C7" s="17">
        <f>GC!D18</f>
        <v>8740.5911535559462</v>
      </c>
      <c r="D7" s="198">
        <f>GC!E18</f>
        <v>-9219.4088464440538</v>
      </c>
      <c r="E7" s="15" t="str">
        <f>IF(OR(GC!A11=1,GC!A11=2),"GC Sailing",IF(GC!A11=3,"Composite","ANA Sailing"))</f>
        <v>GC Sailing</v>
      </c>
      <c r="F7" s="141">
        <f>IF(GC!F9=1,"NO SAILING",GC!AY25)</f>
        <v>70</v>
      </c>
      <c r="G7" s="119">
        <f>IF(GC!F9=1,"NO SAILING",GC!BA25)</f>
        <v>4142.21</v>
      </c>
      <c r="H7" s="205" t="str">
        <f>IF(GC!F9=1,"",CONCATENATE(GC!AC5," / ",GC!AD5))</f>
        <v>230.77 / 28.93</v>
      </c>
      <c r="I7" s="3" t="s">
        <v>39</v>
      </c>
      <c r="J7" s="16" t="s">
        <v>17</v>
      </c>
      <c r="K7" s="54" t="s">
        <v>15</v>
      </c>
    </row>
    <row r="8" spans="1:11" ht="14.25" customHeight="1">
      <c r="A8" s="237" t="str">
        <f>GC!G7</f>
        <v>WP NR.</v>
      </c>
      <c r="B8" s="238"/>
      <c r="C8" s="196">
        <v>5</v>
      </c>
      <c r="D8" s="57" t="str">
        <f>GC!H7</f>
        <v>MIN 3 WP; MAX 51 WP</v>
      </c>
      <c r="E8" s="230" t="str">
        <f>IF(GC!F8=1,"","LIMIT LAT")</f>
        <v/>
      </c>
      <c r="F8" s="197">
        <v>4620</v>
      </c>
      <c r="G8" s="244" t="str">
        <f>IF(GC!F8=1,"",GC!AF16)</f>
        <v/>
      </c>
      <c r="H8" s="245"/>
      <c r="I8" s="192" t="str">
        <f>IF(GC!A11=1,"","7")</f>
        <v>7</v>
      </c>
      <c r="J8" s="80" t="str">
        <f>IF(GC!A11=1,"","ROUND LONG.?")</f>
        <v>ROUND LONG.?</v>
      </c>
      <c r="K8" s="54" t="s">
        <v>15</v>
      </c>
    </row>
    <row r="9" spans="1:11" ht="14.25" customHeight="1">
      <c r="A9" s="208"/>
      <c r="E9" s="18"/>
      <c r="F9" s="18"/>
      <c r="G9" s="236" t="str">
        <f>IF(GC!F8=1,"",GC!AF17)</f>
        <v/>
      </c>
      <c r="H9" s="236"/>
      <c r="J9" s="32"/>
    </row>
    <row r="10" spans="1:11" ht="13.5" thickBot="1">
      <c r="B10" s="20"/>
      <c r="C10" s="2"/>
      <c r="D10" s="2"/>
      <c r="E10" s="182"/>
      <c r="F10" s="21"/>
      <c r="G10" s="21"/>
      <c r="H10" s="2"/>
      <c r="I10" s="202"/>
      <c r="J10" s="61"/>
      <c r="K10" s="61"/>
    </row>
    <row r="11" spans="1:11">
      <c r="B11" s="22" t="s">
        <v>19</v>
      </c>
      <c r="C11" s="23" t="s">
        <v>20</v>
      </c>
      <c r="D11" s="23" t="s">
        <v>21</v>
      </c>
      <c r="E11" s="24" t="s">
        <v>22</v>
      </c>
      <c r="F11" s="24" t="s">
        <v>2</v>
      </c>
      <c r="G11" s="25" t="s">
        <v>23</v>
      </c>
      <c r="H11" s="26"/>
      <c r="I11" s="203"/>
      <c r="J11" s="61"/>
      <c r="K11" s="211"/>
    </row>
    <row r="12" spans="1:11" ht="12.75" customHeight="1">
      <c r="B12" s="27">
        <f>IF(C12="","",IF(GC!A11=4,"A",0))</f>
        <v>0</v>
      </c>
      <c r="C12" s="28">
        <f>GC!AW25</f>
        <v>4620</v>
      </c>
      <c r="D12" s="29">
        <f>GC!AX25</f>
        <v>14030.000000000002</v>
      </c>
      <c r="E12" s="30">
        <f>GC!AY25</f>
        <v>70</v>
      </c>
      <c r="F12" s="116">
        <f>GC!AZ25</f>
        <v>993.89</v>
      </c>
      <c r="G12" s="209">
        <f>GC!BA25</f>
        <v>4142.21</v>
      </c>
      <c r="H12" s="31"/>
      <c r="I12" s="201"/>
      <c r="J12" s="61"/>
      <c r="K12" s="61"/>
    </row>
    <row r="13" spans="1:11" ht="12.75" customHeight="1">
      <c r="B13" s="27">
        <f>IF(B12="A","N",IF(C13="","",B12+1))</f>
        <v>1</v>
      </c>
      <c r="C13" s="28">
        <f>GC!AW26</f>
        <v>5200</v>
      </c>
      <c r="D13" s="29">
        <f>GC!AX26</f>
        <v>16415</v>
      </c>
      <c r="E13" s="30">
        <f>GC!AY26</f>
        <v>88.7</v>
      </c>
      <c r="F13" s="116">
        <f>GC!AZ26</f>
        <v>877.68</v>
      </c>
      <c r="G13" s="209">
        <f>GC!BA26</f>
        <v>3148.32</v>
      </c>
      <c r="H13" s="31"/>
      <c r="J13" s="33"/>
      <c r="K13" s="33"/>
    </row>
    <row r="14" spans="1:11" ht="12.75" customHeight="1">
      <c r="B14" s="27">
        <f>IF(B13="N","A",IF(C14="","",B13+1))</f>
        <v>2</v>
      </c>
      <c r="C14" s="28">
        <f>GC!AW27</f>
        <v>5220</v>
      </c>
      <c r="D14" s="29">
        <f>GC!AX27</f>
        <v>-17200</v>
      </c>
      <c r="E14" s="30">
        <f>GC!AY27</f>
        <v>107.8</v>
      </c>
      <c r="F14" s="116">
        <f>GC!AZ27</f>
        <v>966.92</v>
      </c>
      <c r="G14" s="209">
        <f>GC!BA27</f>
        <v>2270.6400000000003</v>
      </c>
      <c r="H14" s="31"/>
      <c r="J14" s="33"/>
      <c r="K14" s="33"/>
    </row>
    <row r="15" spans="1:11" ht="12.75" customHeight="1">
      <c r="B15" s="27">
        <f>IF(C15="","",B14+1)</f>
        <v>3</v>
      </c>
      <c r="C15" s="28">
        <f>GC!AW28</f>
        <v>4725</v>
      </c>
      <c r="D15" s="29">
        <f>GC!AX28</f>
        <v>-14814.999999999998</v>
      </c>
      <c r="E15" s="30">
        <f>GC!AY28</f>
        <v>124.8</v>
      </c>
      <c r="F15" s="116">
        <f>GC!AZ28</f>
        <v>1303.72</v>
      </c>
      <c r="G15" s="209">
        <f>GC!BA28</f>
        <v>1303.7200000000003</v>
      </c>
      <c r="H15" s="31"/>
      <c r="J15" s="33"/>
      <c r="K15" s="33"/>
    </row>
    <row r="16" spans="1:11" ht="12.75" customHeight="1">
      <c r="B16" s="27">
        <f t="shared" ref="B16:B62" si="0">IF(C16="","",B15+1)</f>
        <v>4</v>
      </c>
      <c r="C16" s="28">
        <f>GC!AW29</f>
        <v>3500</v>
      </c>
      <c r="D16" s="29">
        <f>GC!AX29</f>
        <v>-12429.999999999998</v>
      </c>
      <c r="E16" s="30" t="str">
        <f>GC!AY29</f>
        <v/>
      </c>
      <c r="F16" s="116" t="str">
        <f>GC!AZ29</f>
        <v/>
      </c>
      <c r="G16" s="209" t="str">
        <f>GC!BA29</f>
        <v/>
      </c>
      <c r="H16" s="31"/>
      <c r="J16" s="33"/>
      <c r="K16" s="33"/>
    </row>
    <row r="17" spans="2:11" ht="12.75" customHeight="1">
      <c r="B17" s="27" t="str">
        <f t="shared" si="0"/>
        <v/>
      </c>
      <c r="C17" s="28" t="str">
        <f>GC!AW30</f>
        <v/>
      </c>
      <c r="D17" s="29" t="str">
        <f>GC!AX30</f>
        <v/>
      </c>
      <c r="E17" s="30" t="str">
        <f>GC!AY30</f>
        <v/>
      </c>
      <c r="F17" s="116" t="str">
        <f>GC!AZ30</f>
        <v/>
      </c>
      <c r="G17" s="209" t="str">
        <f>GC!BA30</f>
        <v/>
      </c>
      <c r="H17" s="31"/>
      <c r="J17" s="33"/>
      <c r="K17" s="33"/>
    </row>
    <row r="18" spans="2:11" ht="12.75" customHeight="1">
      <c r="B18" s="27" t="str">
        <f t="shared" si="0"/>
        <v/>
      </c>
      <c r="C18" s="28" t="str">
        <f>GC!AW31</f>
        <v/>
      </c>
      <c r="D18" s="29" t="str">
        <f>GC!AX31</f>
        <v/>
      </c>
      <c r="E18" s="30" t="str">
        <f>GC!AY31</f>
        <v/>
      </c>
      <c r="F18" s="116" t="str">
        <f>GC!AZ31</f>
        <v/>
      </c>
      <c r="G18" s="209" t="str">
        <f>GC!BA31</f>
        <v/>
      </c>
      <c r="H18" s="31"/>
      <c r="J18" s="33"/>
      <c r="K18" s="33"/>
    </row>
    <row r="19" spans="2:11" ht="12.75" customHeight="1">
      <c r="B19" s="27" t="str">
        <f t="shared" si="0"/>
        <v/>
      </c>
      <c r="C19" s="28" t="str">
        <f>GC!AW32</f>
        <v/>
      </c>
      <c r="D19" s="29" t="str">
        <f>GC!AX32</f>
        <v/>
      </c>
      <c r="E19" s="30" t="str">
        <f>GC!AY32</f>
        <v/>
      </c>
      <c r="F19" s="116" t="str">
        <f>GC!AZ32</f>
        <v/>
      </c>
      <c r="G19" s="209" t="str">
        <f>GC!BA32</f>
        <v/>
      </c>
      <c r="H19" s="31"/>
      <c r="J19" s="33"/>
      <c r="K19" s="33"/>
    </row>
    <row r="20" spans="2:11" ht="12.75" customHeight="1">
      <c r="B20" s="27" t="str">
        <f t="shared" si="0"/>
        <v/>
      </c>
      <c r="C20" s="28" t="str">
        <f>GC!AW33</f>
        <v/>
      </c>
      <c r="D20" s="29" t="str">
        <f>GC!AX33</f>
        <v/>
      </c>
      <c r="E20" s="30" t="str">
        <f>GC!AY33</f>
        <v/>
      </c>
      <c r="F20" s="116" t="str">
        <f>GC!AZ33</f>
        <v/>
      </c>
      <c r="G20" s="209" t="str">
        <f>GC!BA33</f>
        <v/>
      </c>
      <c r="H20" s="31"/>
      <c r="J20" s="33"/>
      <c r="K20" s="33"/>
    </row>
    <row r="21" spans="2:11" ht="12.75" customHeight="1">
      <c r="B21" s="27" t="str">
        <f t="shared" si="0"/>
        <v/>
      </c>
      <c r="C21" s="28" t="str">
        <f>GC!AW34</f>
        <v/>
      </c>
      <c r="D21" s="29" t="str">
        <f>GC!AX34</f>
        <v/>
      </c>
      <c r="E21" s="30" t="str">
        <f>GC!AY34</f>
        <v/>
      </c>
      <c r="F21" s="116" t="str">
        <f>GC!AZ34</f>
        <v/>
      </c>
      <c r="G21" s="209" t="str">
        <f>GC!BA34</f>
        <v/>
      </c>
      <c r="H21" s="31"/>
      <c r="I21" s="201"/>
      <c r="J21" s="33"/>
      <c r="K21" s="33"/>
    </row>
    <row r="22" spans="2:11" ht="12.75" customHeight="1">
      <c r="B22" s="27" t="str">
        <f t="shared" si="0"/>
        <v/>
      </c>
      <c r="C22" s="28" t="str">
        <f>GC!AW35</f>
        <v/>
      </c>
      <c r="D22" s="29" t="str">
        <f>GC!AX35</f>
        <v/>
      </c>
      <c r="E22" s="30" t="str">
        <f>GC!AY35</f>
        <v/>
      </c>
      <c r="F22" s="116" t="str">
        <f>GC!AZ35</f>
        <v/>
      </c>
      <c r="G22" s="209" t="str">
        <f>GC!BA35</f>
        <v/>
      </c>
      <c r="H22" s="31"/>
      <c r="I22" s="201"/>
      <c r="J22" s="33"/>
      <c r="K22" s="33"/>
    </row>
    <row r="23" spans="2:11" ht="12.75" customHeight="1">
      <c r="B23" s="27" t="str">
        <f t="shared" si="0"/>
        <v/>
      </c>
      <c r="C23" s="28" t="str">
        <f>GC!AW36</f>
        <v/>
      </c>
      <c r="D23" s="29" t="str">
        <f>GC!AX36</f>
        <v/>
      </c>
      <c r="E23" s="30" t="str">
        <f>GC!AY36</f>
        <v/>
      </c>
      <c r="F23" s="116" t="str">
        <f>GC!AZ36</f>
        <v/>
      </c>
      <c r="G23" s="209" t="str">
        <f>GC!BA36</f>
        <v/>
      </c>
      <c r="H23" s="31"/>
      <c r="I23" s="31"/>
      <c r="J23" s="31"/>
      <c r="K23" s="31"/>
    </row>
    <row r="24" spans="2:11" ht="12.75" customHeight="1">
      <c r="B24" s="27" t="str">
        <f t="shared" si="0"/>
        <v/>
      </c>
      <c r="C24" s="28" t="str">
        <f>GC!AW37</f>
        <v/>
      </c>
      <c r="D24" s="29" t="str">
        <f>GC!AX37</f>
        <v/>
      </c>
      <c r="E24" s="30" t="str">
        <f>GC!AY37</f>
        <v/>
      </c>
      <c r="F24" s="116" t="str">
        <f>GC!AZ37</f>
        <v/>
      </c>
      <c r="G24" s="209" t="str">
        <f>GC!BA37</f>
        <v/>
      </c>
      <c r="H24" s="31"/>
      <c r="I24" s="201"/>
      <c r="J24" s="33"/>
      <c r="K24" s="33"/>
    </row>
    <row r="25" spans="2:11" ht="12.75" customHeight="1">
      <c r="B25" s="27" t="str">
        <f t="shared" si="0"/>
        <v/>
      </c>
      <c r="C25" s="28" t="str">
        <f>GC!AW38</f>
        <v/>
      </c>
      <c r="D25" s="29" t="str">
        <f>GC!AX38</f>
        <v/>
      </c>
      <c r="E25" s="30" t="str">
        <f>GC!AY38</f>
        <v/>
      </c>
      <c r="F25" s="116" t="str">
        <f>GC!AZ38</f>
        <v/>
      </c>
      <c r="G25" s="209" t="str">
        <f>GC!BA38</f>
        <v/>
      </c>
      <c r="H25" s="31"/>
      <c r="I25" s="201"/>
      <c r="J25" s="33"/>
      <c r="K25" s="33"/>
    </row>
    <row r="26" spans="2:11" ht="12.75" customHeight="1">
      <c r="B26" s="27" t="str">
        <f t="shared" si="0"/>
        <v/>
      </c>
      <c r="C26" s="28" t="str">
        <f>GC!AW39</f>
        <v/>
      </c>
      <c r="D26" s="29" t="str">
        <f>GC!AX39</f>
        <v/>
      </c>
      <c r="E26" s="30" t="str">
        <f>GC!AY39</f>
        <v/>
      </c>
      <c r="F26" s="116" t="str">
        <f>GC!AZ39</f>
        <v/>
      </c>
      <c r="G26" s="209" t="str">
        <f>GC!BA39</f>
        <v/>
      </c>
      <c r="H26" s="31"/>
      <c r="I26" s="201"/>
    </row>
    <row r="27" spans="2:11" ht="12.75" customHeight="1">
      <c r="B27" s="27" t="str">
        <f t="shared" si="0"/>
        <v/>
      </c>
      <c r="C27" s="28" t="str">
        <f>GC!AW40</f>
        <v/>
      </c>
      <c r="D27" s="29" t="str">
        <f>GC!AX40</f>
        <v/>
      </c>
      <c r="E27" s="30" t="str">
        <f>GC!AY40</f>
        <v/>
      </c>
      <c r="F27" s="116" t="str">
        <f>GC!AZ40</f>
        <v/>
      </c>
      <c r="G27" s="209" t="str">
        <f>GC!BA40</f>
        <v/>
      </c>
      <c r="H27" s="31"/>
      <c r="I27" s="201"/>
    </row>
    <row r="28" spans="2:11" ht="12.75" customHeight="1">
      <c r="B28" s="27" t="str">
        <f t="shared" si="0"/>
        <v/>
      </c>
      <c r="C28" s="28" t="str">
        <f>GC!AW41</f>
        <v/>
      </c>
      <c r="D28" s="29" t="str">
        <f>GC!AX41</f>
        <v/>
      </c>
      <c r="E28" s="30" t="str">
        <f>GC!AY41</f>
        <v/>
      </c>
      <c r="F28" s="116" t="str">
        <f>GC!AZ41</f>
        <v/>
      </c>
      <c r="G28" s="209" t="str">
        <f>GC!BA41</f>
        <v/>
      </c>
      <c r="H28" s="31"/>
      <c r="I28" s="201"/>
    </row>
    <row r="29" spans="2:11" ht="12.75" customHeight="1">
      <c r="B29" s="27" t="str">
        <f t="shared" si="0"/>
        <v/>
      </c>
      <c r="C29" s="28" t="str">
        <f>GC!AW42</f>
        <v/>
      </c>
      <c r="D29" s="29" t="str">
        <f>GC!AX42</f>
        <v/>
      </c>
      <c r="E29" s="30" t="str">
        <f>GC!AY42</f>
        <v/>
      </c>
      <c r="F29" s="116" t="str">
        <f>GC!AZ42</f>
        <v/>
      </c>
      <c r="G29" s="209" t="str">
        <f>GC!BA42</f>
        <v/>
      </c>
      <c r="H29" s="31"/>
      <c r="I29" s="201"/>
    </row>
    <row r="30" spans="2:11" ht="12.75" customHeight="1">
      <c r="B30" s="27" t="str">
        <f t="shared" si="0"/>
        <v/>
      </c>
      <c r="C30" s="28" t="str">
        <f>GC!AW43</f>
        <v/>
      </c>
      <c r="D30" s="29" t="str">
        <f>GC!AX43</f>
        <v/>
      </c>
      <c r="E30" s="30" t="str">
        <f>GC!AY43</f>
        <v/>
      </c>
      <c r="F30" s="116" t="str">
        <f>GC!AZ43</f>
        <v/>
      </c>
      <c r="G30" s="209" t="str">
        <f>GC!BA43</f>
        <v/>
      </c>
      <c r="H30" s="31"/>
      <c r="I30" s="31"/>
    </row>
    <row r="31" spans="2:11" ht="12.75" customHeight="1">
      <c r="B31" s="27" t="str">
        <f t="shared" si="0"/>
        <v/>
      </c>
      <c r="C31" s="28" t="str">
        <f>GC!AW44</f>
        <v/>
      </c>
      <c r="D31" s="29" t="str">
        <f>GC!AX44</f>
        <v/>
      </c>
      <c r="E31" s="30" t="str">
        <f>GC!AY44</f>
        <v/>
      </c>
      <c r="F31" s="116" t="str">
        <f>GC!AZ44</f>
        <v/>
      </c>
      <c r="G31" s="209" t="str">
        <f>GC!BA44</f>
        <v/>
      </c>
      <c r="H31" s="31"/>
      <c r="I31" s="31"/>
    </row>
    <row r="32" spans="2:11" ht="12.75" customHeight="1">
      <c r="B32" s="27" t="str">
        <f t="shared" si="0"/>
        <v/>
      </c>
      <c r="C32" s="28" t="str">
        <f>GC!AW45</f>
        <v/>
      </c>
      <c r="D32" s="29" t="str">
        <f>GC!AX45</f>
        <v/>
      </c>
      <c r="E32" s="30" t="str">
        <f>GC!AY45</f>
        <v/>
      </c>
      <c r="F32" s="116" t="str">
        <f>GC!AZ45</f>
        <v/>
      </c>
      <c r="G32" s="209" t="str">
        <f>GC!BA45</f>
        <v/>
      </c>
      <c r="H32" s="31"/>
      <c r="I32" s="31"/>
    </row>
    <row r="33" spans="2:9" ht="12.75" customHeight="1">
      <c r="B33" s="27" t="str">
        <f t="shared" si="0"/>
        <v/>
      </c>
      <c r="C33" s="28" t="str">
        <f>GC!AW46</f>
        <v/>
      </c>
      <c r="D33" s="29" t="str">
        <f>GC!AX46</f>
        <v/>
      </c>
      <c r="E33" s="30" t="str">
        <f>GC!AY46</f>
        <v/>
      </c>
      <c r="F33" s="116" t="str">
        <f>GC!AZ46</f>
        <v/>
      </c>
      <c r="G33" s="209" t="str">
        <f>GC!BA46</f>
        <v/>
      </c>
      <c r="H33" s="31"/>
      <c r="I33" s="31"/>
    </row>
    <row r="34" spans="2:9" ht="12.75" customHeight="1">
      <c r="B34" s="27" t="str">
        <f t="shared" si="0"/>
        <v/>
      </c>
      <c r="C34" s="28" t="str">
        <f>GC!AW47</f>
        <v/>
      </c>
      <c r="D34" s="29" t="str">
        <f>GC!AX47</f>
        <v/>
      </c>
      <c r="E34" s="30" t="str">
        <f>GC!AY47</f>
        <v/>
      </c>
      <c r="F34" s="116" t="str">
        <f>GC!AZ47</f>
        <v/>
      </c>
      <c r="G34" s="209" t="str">
        <f>GC!BA47</f>
        <v/>
      </c>
      <c r="H34" s="31"/>
      <c r="I34" s="31"/>
    </row>
    <row r="35" spans="2:9" ht="12.75" customHeight="1">
      <c r="B35" s="27" t="str">
        <f t="shared" si="0"/>
        <v/>
      </c>
      <c r="C35" s="28" t="str">
        <f>GC!AW48</f>
        <v/>
      </c>
      <c r="D35" s="29" t="str">
        <f>GC!AX48</f>
        <v/>
      </c>
      <c r="E35" s="30" t="str">
        <f>GC!AY48</f>
        <v/>
      </c>
      <c r="F35" s="116" t="str">
        <f>GC!AZ48</f>
        <v/>
      </c>
      <c r="G35" s="209" t="str">
        <f>GC!BA48</f>
        <v/>
      </c>
      <c r="H35" s="31"/>
      <c r="I35" s="31"/>
    </row>
    <row r="36" spans="2:9" ht="12.75" customHeight="1">
      <c r="B36" s="27" t="str">
        <f t="shared" si="0"/>
        <v/>
      </c>
      <c r="C36" s="28" t="str">
        <f>GC!AW49</f>
        <v/>
      </c>
      <c r="D36" s="29" t="str">
        <f>GC!AX49</f>
        <v/>
      </c>
      <c r="E36" s="30" t="str">
        <f>GC!AY49</f>
        <v/>
      </c>
      <c r="F36" s="116" t="str">
        <f>GC!AZ49</f>
        <v/>
      </c>
      <c r="G36" s="209" t="str">
        <f>GC!BA49</f>
        <v/>
      </c>
      <c r="H36" s="31"/>
      <c r="I36" s="31"/>
    </row>
    <row r="37" spans="2:9" ht="12.75" customHeight="1">
      <c r="B37" s="27" t="str">
        <f t="shared" si="0"/>
        <v/>
      </c>
      <c r="C37" s="28" t="str">
        <f>GC!AW50</f>
        <v/>
      </c>
      <c r="D37" s="29" t="str">
        <f>GC!AX50</f>
        <v/>
      </c>
      <c r="E37" s="30" t="str">
        <f>GC!AY50</f>
        <v/>
      </c>
      <c r="F37" s="116" t="str">
        <f>GC!AZ50</f>
        <v/>
      </c>
      <c r="G37" s="209" t="str">
        <f>GC!BA50</f>
        <v/>
      </c>
      <c r="H37" s="31"/>
      <c r="I37" s="31"/>
    </row>
    <row r="38" spans="2:9" ht="12.75" customHeight="1">
      <c r="B38" s="27" t="str">
        <f t="shared" si="0"/>
        <v/>
      </c>
      <c r="C38" s="28" t="str">
        <f>GC!AW51</f>
        <v/>
      </c>
      <c r="D38" s="29" t="str">
        <f>GC!AX51</f>
        <v/>
      </c>
      <c r="E38" s="30" t="str">
        <f>GC!AY51</f>
        <v/>
      </c>
      <c r="F38" s="116" t="str">
        <f>GC!AZ51</f>
        <v/>
      </c>
      <c r="G38" s="209" t="str">
        <f>GC!BA51</f>
        <v/>
      </c>
      <c r="H38" s="31"/>
      <c r="I38" s="31"/>
    </row>
    <row r="39" spans="2:9" ht="12.75" customHeight="1">
      <c r="B39" s="27" t="str">
        <f t="shared" si="0"/>
        <v/>
      </c>
      <c r="C39" s="28" t="str">
        <f>GC!AW52</f>
        <v/>
      </c>
      <c r="D39" s="29" t="str">
        <f>GC!AX52</f>
        <v/>
      </c>
      <c r="E39" s="30" t="str">
        <f>GC!AY52</f>
        <v/>
      </c>
      <c r="F39" s="116" t="str">
        <f>GC!AZ52</f>
        <v/>
      </c>
      <c r="G39" s="209" t="str">
        <f>GC!BA52</f>
        <v/>
      </c>
      <c r="H39" s="31"/>
      <c r="I39" s="31"/>
    </row>
    <row r="40" spans="2:9" ht="12.75" customHeight="1">
      <c r="B40" s="27" t="str">
        <f t="shared" si="0"/>
        <v/>
      </c>
      <c r="C40" s="28" t="str">
        <f>GC!AW53</f>
        <v/>
      </c>
      <c r="D40" s="29" t="str">
        <f>GC!AX53</f>
        <v/>
      </c>
      <c r="E40" s="30" t="str">
        <f>GC!AY53</f>
        <v/>
      </c>
      <c r="F40" s="116" t="str">
        <f>GC!AZ53</f>
        <v/>
      </c>
      <c r="G40" s="209" t="str">
        <f>GC!BA53</f>
        <v/>
      </c>
      <c r="H40" s="31"/>
      <c r="I40" s="31"/>
    </row>
    <row r="41" spans="2:9" ht="12.75" customHeight="1">
      <c r="B41" s="27" t="str">
        <f t="shared" si="0"/>
        <v/>
      </c>
      <c r="C41" s="28" t="str">
        <f>GC!AW54</f>
        <v/>
      </c>
      <c r="D41" s="29" t="str">
        <f>GC!AX54</f>
        <v/>
      </c>
      <c r="E41" s="30" t="str">
        <f>GC!AY54</f>
        <v/>
      </c>
      <c r="F41" s="116" t="str">
        <f>GC!AZ54</f>
        <v/>
      </c>
      <c r="G41" s="209" t="str">
        <f>GC!BA54</f>
        <v/>
      </c>
      <c r="H41" s="31"/>
      <c r="I41" s="31"/>
    </row>
    <row r="42" spans="2:9" ht="12.75" customHeight="1">
      <c r="B42" s="27" t="str">
        <f t="shared" si="0"/>
        <v/>
      </c>
      <c r="C42" s="28" t="str">
        <f>GC!AW55</f>
        <v/>
      </c>
      <c r="D42" s="29" t="str">
        <f>GC!AX55</f>
        <v/>
      </c>
      <c r="E42" s="30" t="str">
        <f>GC!AY55</f>
        <v/>
      </c>
      <c r="F42" s="116" t="str">
        <f>GC!AZ55</f>
        <v/>
      </c>
      <c r="G42" s="209" t="str">
        <f>GC!BA55</f>
        <v/>
      </c>
      <c r="H42" s="31"/>
      <c r="I42" s="31"/>
    </row>
    <row r="43" spans="2:9" ht="12.75" customHeight="1">
      <c r="B43" s="27" t="str">
        <f t="shared" si="0"/>
        <v/>
      </c>
      <c r="C43" s="28" t="str">
        <f>GC!AW56</f>
        <v/>
      </c>
      <c r="D43" s="29" t="str">
        <f>GC!AX56</f>
        <v/>
      </c>
      <c r="E43" s="30" t="str">
        <f>GC!AY56</f>
        <v/>
      </c>
      <c r="F43" s="116" t="str">
        <f>GC!AZ56</f>
        <v/>
      </c>
      <c r="G43" s="209" t="str">
        <f>GC!BA56</f>
        <v/>
      </c>
      <c r="H43" s="31"/>
      <c r="I43" s="31"/>
    </row>
    <row r="44" spans="2:9" ht="12.75" customHeight="1">
      <c r="B44" s="27" t="str">
        <f t="shared" si="0"/>
        <v/>
      </c>
      <c r="C44" s="28" t="str">
        <f>GC!AW57</f>
        <v/>
      </c>
      <c r="D44" s="29" t="str">
        <f>GC!AX57</f>
        <v/>
      </c>
      <c r="E44" s="30" t="str">
        <f>GC!AY57</f>
        <v/>
      </c>
      <c r="F44" s="116" t="str">
        <f>GC!AZ57</f>
        <v/>
      </c>
      <c r="G44" s="209" t="str">
        <f>GC!BA57</f>
        <v/>
      </c>
      <c r="H44" s="31"/>
      <c r="I44" s="31"/>
    </row>
    <row r="45" spans="2:9" ht="12.75" customHeight="1">
      <c r="B45" s="27" t="str">
        <f t="shared" si="0"/>
        <v/>
      </c>
      <c r="C45" s="28" t="str">
        <f>GC!AW58</f>
        <v/>
      </c>
      <c r="D45" s="29" t="str">
        <f>GC!AX58</f>
        <v/>
      </c>
      <c r="E45" s="30" t="str">
        <f>GC!AY58</f>
        <v/>
      </c>
      <c r="F45" s="116" t="str">
        <f>GC!AZ58</f>
        <v/>
      </c>
      <c r="G45" s="209" t="str">
        <f>GC!BA58</f>
        <v/>
      </c>
      <c r="H45" s="31"/>
      <c r="I45" s="31"/>
    </row>
    <row r="46" spans="2:9" ht="12.75" customHeight="1">
      <c r="B46" s="27" t="str">
        <f t="shared" si="0"/>
        <v/>
      </c>
      <c r="C46" s="28" t="str">
        <f>GC!AW59</f>
        <v/>
      </c>
      <c r="D46" s="29" t="str">
        <f>GC!AX59</f>
        <v/>
      </c>
      <c r="E46" s="30" t="str">
        <f>GC!AY59</f>
        <v/>
      </c>
      <c r="F46" s="116" t="str">
        <f>GC!AZ59</f>
        <v/>
      </c>
      <c r="G46" s="209" t="str">
        <f>GC!BA59</f>
        <v/>
      </c>
      <c r="H46" s="31"/>
      <c r="I46" s="31"/>
    </row>
    <row r="47" spans="2:9" ht="12.75" customHeight="1">
      <c r="B47" s="27" t="str">
        <f t="shared" si="0"/>
        <v/>
      </c>
      <c r="C47" s="28" t="str">
        <f>GC!AW60</f>
        <v/>
      </c>
      <c r="D47" s="29" t="str">
        <f>GC!AX60</f>
        <v/>
      </c>
      <c r="E47" s="30" t="str">
        <f>GC!AY60</f>
        <v/>
      </c>
      <c r="F47" s="116" t="str">
        <f>GC!AZ60</f>
        <v/>
      </c>
      <c r="G47" s="209" t="str">
        <f>GC!BA60</f>
        <v/>
      </c>
      <c r="H47" s="31"/>
      <c r="I47" s="31"/>
    </row>
    <row r="48" spans="2:9" ht="12.75" customHeight="1">
      <c r="B48" s="27" t="str">
        <f t="shared" si="0"/>
        <v/>
      </c>
      <c r="C48" s="28" t="str">
        <f>GC!AW61</f>
        <v/>
      </c>
      <c r="D48" s="29" t="str">
        <f>GC!AX61</f>
        <v/>
      </c>
      <c r="E48" s="30" t="str">
        <f>GC!AY61</f>
        <v/>
      </c>
      <c r="F48" s="116" t="str">
        <f>GC!AZ61</f>
        <v/>
      </c>
      <c r="G48" s="209" t="str">
        <f>GC!BA61</f>
        <v/>
      </c>
      <c r="H48" s="31"/>
      <c r="I48" s="31"/>
    </row>
    <row r="49" spans="2:9" ht="12.75" customHeight="1">
      <c r="B49" s="27" t="str">
        <f t="shared" si="0"/>
        <v/>
      </c>
      <c r="C49" s="28" t="str">
        <f>GC!AW62</f>
        <v/>
      </c>
      <c r="D49" s="29" t="str">
        <f>GC!AX62</f>
        <v/>
      </c>
      <c r="E49" s="30" t="str">
        <f>GC!AY62</f>
        <v/>
      </c>
      <c r="F49" s="116" t="str">
        <f>GC!AZ62</f>
        <v/>
      </c>
      <c r="G49" s="209" t="str">
        <f>GC!BA62</f>
        <v/>
      </c>
      <c r="H49" s="31"/>
      <c r="I49" s="31"/>
    </row>
    <row r="50" spans="2:9" ht="12.75" customHeight="1">
      <c r="B50" s="27" t="str">
        <f t="shared" si="0"/>
        <v/>
      </c>
      <c r="C50" s="28" t="str">
        <f>GC!AW63</f>
        <v/>
      </c>
      <c r="D50" s="29" t="str">
        <f>GC!AX63</f>
        <v/>
      </c>
      <c r="E50" s="30" t="str">
        <f>GC!AY63</f>
        <v/>
      </c>
      <c r="F50" s="116" t="str">
        <f>GC!AZ63</f>
        <v/>
      </c>
      <c r="G50" s="209" t="str">
        <f>GC!BA63</f>
        <v/>
      </c>
      <c r="H50" s="31"/>
      <c r="I50" s="31"/>
    </row>
    <row r="51" spans="2:9" ht="12.75" customHeight="1">
      <c r="B51" s="27" t="str">
        <f t="shared" si="0"/>
        <v/>
      </c>
      <c r="C51" s="28" t="str">
        <f>GC!AW64</f>
        <v/>
      </c>
      <c r="D51" s="29" t="str">
        <f>GC!AX64</f>
        <v/>
      </c>
      <c r="E51" s="30" t="str">
        <f>GC!AY64</f>
        <v/>
      </c>
      <c r="F51" s="116" t="str">
        <f>GC!AZ64</f>
        <v/>
      </c>
      <c r="G51" s="209" t="str">
        <f>GC!BA64</f>
        <v/>
      </c>
      <c r="H51" s="31"/>
      <c r="I51" s="31"/>
    </row>
    <row r="52" spans="2:9" ht="12.75" customHeight="1">
      <c r="B52" s="27" t="str">
        <f t="shared" si="0"/>
        <v/>
      </c>
      <c r="C52" s="28" t="str">
        <f>GC!AW65</f>
        <v/>
      </c>
      <c r="D52" s="29" t="str">
        <f>GC!AX65</f>
        <v/>
      </c>
      <c r="E52" s="30" t="str">
        <f>GC!AY65</f>
        <v/>
      </c>
      <c r="F52" s="116" t="str">
        <f>GC!AZ65</f>
        <v/>
      </c>
      <c r="G52" s="209" t="str">
        <f>GC!BA65</f>
        <v/>
      </c>
      <c r="H52" s="31"/>
      <c r="I52" s="31"/>
    </row>
    <row r="53" spans="2:9" ht="12.75" customHeight="1">
      <c r="B53" s="27" t="str">
        <f t="shared" si="0"/>
        <v/>
      </c>
      <c r="C53" s="28" t="str">
        <f>GC!AW66</f>
        <v/>
      </c>
      <c r="D53" s="29" t="str">
        <f>GC!AX66</f>
        <v/>
      </c>
      <c r="E53" s="30" t="str">
        <f>GC!AY66</f>
        <v/>
      </c>
      <c r="F53" s="116" t="str">
        <f>GC!AZ66</f>
        <v/>
      </c>
      <c r="G53" s="209" t="str">
        <f>GC!BA66</f>
        <v/>
      </c>
      <c r="H53" s="33"/>
      <c r="I53" s="33"/>
    </row>
    <row r="54" spans="2:9" ht="12.75" customHeight="1">
      <c r="B54" s="27" t="str">
        <f t="shared" si="0"/>
        <v/>
      </c>
      <c r="C54" s="28" t="str">
        <f>GC!AW67</f>
        <v/>
      </c>
      <c r="D54" s="29" t="str">
        <f>GC!AX67</f>
        <v/>
      </c>
      <c r="E54" s="30" t="str">
        <f>GC!AY67</f>
        <v/>
      </c>
      <c r="F54" s="116" t="str">
        <f>GC!AZ67</f>
        <v/>
      </c>
      <c r="G54" s="209" t="str">
        <f>GC!BA67</f>
        <v/>
      </c>
      <c r="H54" s="33"/>
      <c r="I54" s="33"/>
    </row>
    <row r="55" spans="2:9" ht="12.75" customHeight="1">
      <c r="B55" s="27" t="str">
        <f t="shared" si="0"/>
        <v/>
      </c>
      <c r="C55" s="28" t="str">
        <f>GC!AW68</f>
        <v/>
      </c>
      <c r="D55" s="29" t="str">
        <f>GC!AX68</f>
        <v/>
      </c>
      <c r="E55" s="30" t="str">
        <f>GC!AY68</f>
        <v/>
      </c>
      <c r="F55" s="116" t="str">
        <f>GC!AZ68</f>
        <v/>
      </c>
      <c r="G55" s="209" t="str">
        <f>GC!BA68</f>
        <v/>
      </c>
      <c r="H55" s="33"/>
      <c r="I55" s="33"/>
    </row>
    <row r="56" spans="2:9" ht="12.75" customHeight="1">
      <c r="B56" s="27" t="str">
        <f t="shared" si="0"/>
        <v/>
      </c>
      <c r="C56" s="28" t="str">
        <f>GC!AW69</f>
        <v/>
      </c>
      <c r="D56" s="29" t="str">
        <f>GC!AX69</f>
        <v/>
      </c>
      <c r="E56" s="30" t="str">
        <f>GC!AY69</f>
        <v/>
      </c>
      <c r="F56" s="116" t="str">
        <f>GC!AZ69</f>
        <v/>
      </c>
      <c r="G56" s="209" t="str">
        <f>GC!BA69</f>
        <v/>
      </c>
      <c r="H56" s="33"/>
      <c r="I56" s="33"/>
    </row>
    <row r="57" spans="2:9" ht="12.75" customHeight="1">
      <c r="B57" s="27" t="str">
        <f t="shared" si="0"/>
        <v/>
      </c>
      <c r="C57" s="28" t="str">
        <f>GC!AW70</f>
        <v/>
      </c>
      <c r="D57" s="29" t="str">
        <f>GC!AX70</f>
        <v/>
      </c>
      <c r="E57" s="30" t="str">
        <f>GC!AY70</f>
        <v/>
      </c>
      <c r="F57" s="116" t="str">
        <f>GC!AZ70</f>
        <v/>
      </c>
      <c r="G57" s="209" t="str">
        <f>GC!BA70</f>
        <v/>
      </c>
      <c r="H57" s="33"/>
      <c r="I57" s="33"/>
    </row>
    <row r="58" spans="2:9" ht="12.75" customHeight="1">
      <c r="B58" s="27" t="str">
        <f t="shared" si="0"/>
        <v/>
      </c>
      <c r="C58" s="28" t="str">
        <f>GC!AW71</f>
        <v/>
      </c>
      <c r="D58" s="29" t="str">
        <f>GC!AX71</f>
        <v/>
      </c>
      <c r="E58" s="30" t="str">
        <f>GC!AY71</f>
        <v/>
      </c>
      <c r="F58" s="116" t="str">
        <f>GC!AZ71</f>
        <v/>
      </c>
      <c r="G58" s="209" t="str">
        <f>GC!BA71</f>
        <v/>
      </c>
      <c r="H58" s="33"/>
      <c r="I58" s="33"/>
    </row>
    <row r="59" spans="2:9" ht="12.75" customHeight="1">
      <c r="B59" s="27" t="str">
        <f t="shared" si="0"/>
        <v/>
      </c>
      <c r="C59" s="28" t="str">
        <f>GC!AW72</f>
        <v/>
      </c>
      <c r="D59" s="29" t="str">
        <f>GC!AX72</f>
        <v/>
      </c>
      <c r="E59" s="30" t="str">
        <f>GC!AY72</f>
        <v/>
      </c>
      <c r="F59" s="116" t="str">
        <f>GC!AZ72</f>
        <v/>
      </c>
      <c r="G59" s="209" t="str">
        <f>GC!BA72</f>
        <v/>
      </c>
      <c r="H59" s="33"/>
      <c r="I59" s="33"/>
    </row>
    <row r="60" spans="2:9" ht="12.75" customHeight="1">
      <c r="B60" s="27" t="str">
        <f t="shared" si="0"/>
        <v/>
      </c>
      <c r="C60" s="28" t="str">
        <f>GC!AW73</f>
        <v/>
      </c>
      <c r="D60" s="29" t="str">
        <f>GC!AX73</f>
        <v/>
      </c>
      <c r="E60" s="30" t="str">
        <f>GC!AY73</f>
        <v/>
      </c>
      <c r="F60" s="116" t="str">
        <f>GC!AZ73</f>
        <v/>
      </c>
      <c r="G60" s="209" t="str">
        <f>GC!BA73</f>
        <v/>
      </c>
      <c r="H60" s="33"/>
      <c r="I60" s="33"/>
    </row>
    <row r="61" spans="2:9" ht="12.75" customHeight="1">
      <c r="B61" s="27" t="str">
        <f t="shared" si="0"/>
        <v/>
      </c>
      <c r="C61" s="28" t="str">
        <f>GC!AW74</f>
        <v/>
      </c>
      <c r="D61" s="29" t="str">
        <f>GC!AX74</f>
        <v/>
      </c>
      <c r="E61" s="30" t="str">
        <f>GC!AY74</f>
        <v/>
      </c>
      <c r="F61" s="116" t="str">
        <f>GC!AZ74</f>
        <v/>
      </c>
      <c r="G61" s="209" t="str">
        <f>GC!BA74</f>
        <v/>
      </c>
      <c r="H61" s="33"/>
      <c r="I61" s="33"/>
    </row>
    <row r="62" spans="2:9" ht="12.75" customHeight="1" thickBot="1">
      <c r="B62" s="34" t="str">
        <f t="shared" si="0"/>
        <v/>
      </c>
      <c r="C62" s="35" t="str">
        <f>GC!AW75</f>
        <v/>
      </c>
      <c r="D62" s="36" t="str">
        <f>GC!AX75</f>
        <v/>
      </c>
      <c r="E62" s="117"/>
      <c r="F62" s="37"/>
      <c r="G62" s="210" t="s">
        <v>24</v>
      </c>
      <c r="H62" s="33"/>
      <c r="I62" s="33"/>
    </row>
  </sheetData>
  <sheetProtection password="CC15" sheet="1" formatCells="0" formatColumns="0" formatRows="0" insertColumns="0" insertRows="0" insertHyperlinks="0" deleteColumns="0" deleteRows="0" sort="0" autoFilter="0" pivotTables="0"/>
  <protectedRanges>
    <protectedRange sqref="K2:K8" name="Range4"/>
    <protectedRange sqref="C4:D5" name="Range2"/>
    <protectedRange sqref="F8 C8" name="Range3"/>
  </protectedRanges>
  <mergeCells count="10">
    <mergeCell ref="G9:H9"/>
    <mergeCell ref="A7:B7"/>
    <mergeCell ref="A8:B8"/>
    <mergeCell ref="A1:H1"/>
    <mergeCell ref="A4:B4"/>
    <mergeCell ref="E4:E5"/>
    <mergeCell ref="G4:G5"/>
    <mergeCell ref="A5:B5"/>
    <mergeCell ref="A6:B6"/>
    <mergeCell ref="G8:H8"/>
  </mergeCells>
  <conditionalFormatting sqref="D4:D5">
    <cfRule type="cellIs" dxfId="18" priority="53" operator="notBetween">
      <formula>-18000</formula>
      <formula>18000</formula>
    </cfRule>
  </conditionalFormatting>
  <conditionalFormatting sqref="C4:C5">
    <cfRule type="cellIs" dxfId="17" priority="52" operator="notBetween">
      <formula>-9000</formula>
      <formula>9000</formula>
    </cfRule>
  </conditionalFormatting>
  <conditionalFormatting sqref="C4">
    <cfRule type="expression" dxfId="16" priority="50">
      <formula>(C4/100-TRUNC(C4/100))/0.6&gt;1</formula>
    </cfRule>
    <cfRule type="expression" dxfId="15" priority="51">
      <formula>(C4/100-TRUNC(C4/100))/0.6&lt;-1</formula>
    </cfRule>
  </conditionalFormatting>
  <conditionalFormatting sqref="C5">
    <cfRule type="expression" dxfId="14" priority="48">
      <formula>(C5/100-TRUNC(C5/100))/0.6&gt;1</formula>
    </cfRule>
    <cfRule type="expression" dxfId="13" priority="49">
      <formula>(C5/100-TRUNC(C5/100))/0.6&lt;-1</formula>
    </cfRule>
  </conditionalFormatting>
  <conditionalFormatting sqref="D4">
    <cfRule type="expression" dxfId="12" priority="46">
      <formula>(D4/100-TRUNC(D4/100))/0.6&gt;1</formula>
    </cfRule>
    <cfRule type="expression" dxfId="11" priority="47">
      <formula>(D4/100-TRUNC(D4/100))/0.6&lt;-1</formula>
    </cfRule>
  </conditionalFormatting>
  <conditionalFormatting sqref="D5">
    <cfRule type="expression" dxfId="10" priority="44">
      <formula>(D5/100-TRUNC(D5/100))/0.6&gt;1</formula>
    </cfRule>
    <cfRule type="expression" dxfId="9" priority="45">
      <formula>(D5/100-TRUNC(D5/100))/0.6&lt;-1</formula>
    </cfRule>
  </conditionalFormatting>
  <conditionalFormatting sqref="F8">
    <cfRule type="expression" dxfId="8" priority="42">
      <formula>(F8/100-TRUNC(F8/100))/0.6&lt;-1</formula>
    </cfRule>
    <cfRule type="expression" dxfId="7" priority="43">
      <formula>(F8/100-TRUNC(F8/100))/0.6&gt;1</formula>
    </cfRule>
  </conditionalFormatting>
  <conditionalFormatting sqref="C4">
    <cfRule type="expression" dxfId="6" priority="15">
      <formula>(C4/100-TRUNC(C4/100))/0.6&gt;1</formula>
    </cfRule>
    <cfRule type="expression" dxfId="5" priority="16">
      <formula>(C4/100-TRUNC(C4/100))/0.6&lt;-1</formula>
    </cfRule>
  </conditionalFormatting>
  <dataValidations count="5">
    <dataValidation type="list" allowBlank="1" showInputMessage="1" showErrorMessage="1" sqref="K4">
      <formula1>SIMPLE</formula1>
    </dataValidation>
    <dataValidation type="list" allowBlank="1" showInputMessage="1" showErrorMessage="1" sqref="K2">
      <formula1>LAT</formula1>
    </dataValidation>
    <dataValidation type="list" allowBlank="1" showInputMessage="1" showErrorMessage="1" sqref="K5">
      <formula1>TC</formula1>
    </dataValidation>
    <dataValidation type="list" allowBlank="1" showInputMessage="1" showErrorMessage="1" sqref="K6:K7">
      <formula1>YES</formula1>
    </dataValidation>
    <dataValidation type="list" allowBlank="1" showInputMessage="1" showErrorMessage="1" sqref="K8 K3">
      <formula1>NOO</formula1>
    </dataValidation>
  </dataValidations>
  <pageMargins left="0.70866141732283472" right="0.70866141732283472" top="0.15748031496062992" bottom="0.15748031496062992" header="0" footer="0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9" operator="notBetween" id="{69221132-2226-405A-B9DF-2B4578B84441}">
            <xm:f>GC!$AE$16</xm:f>
            <xm:f>GC!$AE$17</xm:f>
            <x14:dxf>
              <font>
                <color rgb="FF0000FF"/>
              </font>
              <fill>
                <patternFill>
                  <bgColor rgb="FFFF0000"/>
                </patternFill>
              </fill>
            </x14:dxf>
          </x14:cfRule>
          <xm:sqref>F8</xm:sqref>
        </x14:conditionalFormatting>
        <x14:conditionalFormatting xmlns:xm="http://schemas.microsoft.com/office/excel/2006/main">
          <x14:cfRule type="expression" priority="70" id="{44C5D79C-DEFB-4660-A38F-4E80C9D2ED21}">
            <xm:f>GC!$F$8=1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left/>
                <right/>
                <top style="thin">
                  <color auto="1"/>
                </top>
                <bottom/>
                <vertical/>
                <horizontal/>
              </border>
            </x14:dxf>
          </x14:cfRule>
          <xm:sqref>F8</xm:sqref>
        </x14:conditionalFormatting>
        <x14:conditionalFormatting xmlns:xm="http://schemas.microsoft.com/office/excel/2006/main">
          <x14:cfRule type="expression" priority="71" id="{FFD592CD-8D7F-40A8-8748-D8D054CDBB8F}">
            <xm:f>GC!$F$9=1</xm:f>
            <x14:dxf>
              <font>
                <b/>
                <i val="0"/>
                <color rgb="FF0000FF"/>
              </font>
              <fill>
                <patternFill>
                  <bgColor rgb="FFFF000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expression" priority="72" id="{295E69E1-1BAF-43B9-AEEA-F56189F558F9}">
            <xm:f>GC!$F$7=2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  <border>
                <left/>
                <right/>
                <top style="thin">
                  <color auto="1"/>
                </top>
                <bottom/>
                <vertical/>
                <horizontal/>
              </border>
            </x14:dxf>
          </x14:cfRule>
          <xm:sqref>C8</xm:sqref>
        </x14:conditionalFormatting>
        <x14:conditionalFormatting xmlns:xm="http://schemas.microsoft.com/office/excel/2006/main">
          <x14:cfRule type="expression" priority="73" stopIfTrue="1" id="{5B204025-D30C-4AA1-9332-F513158E746D}">
            <xm:f>IF(GC!$A$11=1,"DEGREES",IF(GC!$A$11=2,"NR OF WP","NOUTICAL MILES"))</xm:f>
            <x14:dxf/>
          </x14:cfRule>
          <xm:sqref>D8</xm:sqref>
        </x14:conditionalFormatting>
        <x14:conditionalFormatting xmlns:xm="http://schemas.microsoft.com/office/excel/2006/main">
          <x14:cfRule type="expression" priority="74" id="{AA50E856-89EA-4A71-8BF3-905D9DA429B5}">
            <xm:f>GC!$A$11=1</xm:f>
            <x14:dxf>
              <font>
                <color theme="0" tint="-0.34998626667073579"/>
              </font>
            </x14:dxf>
          </x14:cfRule>
          <xm:sqref>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50"/>
  </sheetPr>
  <dimension ref="A1:BI92"/>
  <sheetViews>
    <sheetView topLeftCell="AQ19" zoomScale="130" zoomScaleNormal="130" zoomScaleSheetLayoutView="130" workbookViewId="0">
      <selection activeCell="BH26" sqref="BH26"/>
    </sheetView>
  </sheetViews>
  <sheetFormatPr defaultRowHeight="12.75"/>
  <cols>
    <col min="1" max="8" width="9.140625" customWidth="1"/>
    <col min="9" max="9" width="12.85546875" customWidth="1"/>
    <col min="10" max="10" width="13" customWidth="1"/>
    <col min="11" max="11" width="11.42578125" customWidth="1"/>
    <col min="12" max="13" width="9.140625" customWidth="1"/>
    <col min="14" max="14" width="9.42578125" customWidth="1"/>
    <col min="15" max="15" width="11.42578125" customWidth="1"/>
    <col min="16" max="16" width="12.28515625" customWidth="1"/>
    <col min="17" max="17" width="12" customWidth="1"/>
    <col min="18" max="19" width="9.42578125" customWidth="1"/>
    <col min="20" max="20" width="13.5703125" customWidth="1"/>
    <col min="21" max="21" width="12.140625" customWidth="1"/>
    <col min="22" max="22" width="10.7109375" customWidth="1"/>
    <col min="23" max="23" width="12.140625" customWidth="1"/>
    <col min="24" max="24" width="12.5703125" customWidth="1"/>
    <col min="25" max="26" width="12" customWidth="1"/>
    <col min="27" max="28" width="9.140625" customWidth="1"/>
    <col min="29" max="29" width="12" customWidth="1"/>
    <col min="30" max="30" width="9.140625" customWidth="1"/>
    <col min="31" max="31" width="7.5703125" customWidth="1"/>
    <col min="32" max="32" width="9.140625" customWidth="1"/>
    <col min="33" max="35" width="6.7109375" customWidth="1"/>
    <col min="36" max="40" width="7.85546875" customWidth="1"/>
    <col min="41" max="42" width="6.5703125" customWidth="1"/>
    <col min="43" max="46" width="9.140625" customWidth="1"/>
    <col min="47" max="47" width="7.7109375" customWidth="1"/>
    <col min="48" max="48" width="9.140625" customWidth="1"/>
    <col min="49" max="49" width="11.28515625" customWidth="1"/>
    <col min="50" max="50" width="12" customWidth="1"/>
    <col min="51" max="51" width="8" customWidth="1"/>
    <col min="52" max="52" width="9.140625" customWidth="1"/>
    <col min="53" max="53" width="9.5703125" customWidth="1"/>
    <col min="54" max="1348" width="9.140625" customWidth="1"/>
    <col min="1363" max="1690" width="0" hidden="1" customWidth="1"/>
  </cols>
  <sheetData>
    <row r="1" spans="1:34" ht="12.75" customHeight="1" thickBot="1">
      <c r="A1" s="249">
        <v>1</v>
      </c>
      <c r="B1" s="249"/>
      <c r="C1" s="252">
        <v>3</v>
      </c>
      <c r="D1" s="252"/>
      <c r="E1" s="252">
        <v>4</v>
      </c>
      <c r="F1" s="252"/>
      <c r="G1" s="252">
        <v>5</v>
      </c>
      <c r="H1" s="252"/>
      <c r="I1" s="252">
        <v>6</v>
      </c>
      <c r="J1" s="252"/>
      <c r="K1" s="252"/>
      <c r="V1" s="33"/>
      <c r="W1" s="33"/>
      <c r="X1" s="33"/>
      <c r="Y1" s="72"/>
      <c r="Z1" s="33"/>
      <c r="AA1" s="33"/>
      <c r="AB1" s="72"/>
      <c r="AC1" s="172"/>
      <c r="AF1" t="s">
        <v>44</v>
      </c>
      <c r="AG1" s="56">
        <f>(6378137^2-(6378137*(1-1/298.257223563))^2)^0.5/6378137</f>
        <v>8.1819190842621486E-2</v>
      </c>
    </row>
    <row r="2" spans="1:34" ht="12.75" customHeight="1">
      <c r="A2" s="39">
        <v>1</v>
      </c>
      <c r="B2" s="189" t="s">
        <v>73</v>
      </c>
      <c r="C2" s="217">
        <v>1</v>
      </c>
      <c r="D2" s="49" t="s">
        <v>27</v>
      </c>
      <c r="E2" s="39">
        <v>1</v>
      </c>
      <c r="F2" s="41" t="s">
        <v>28</v>
      </c>
      <c r="G2" s="39">
        <v>1</v>
      </c>
      <c r="H2" s="40" t="s">
        <v>18</v>
      </c>
      <c r="I2" s="39">
        <v>1</v>
      </c>
      <c r="J2" s="40" t="s">
        <v>15</v>
      </c>
      <c r="K2" s="49" t="s">
        <v>52</v>
      </c>
      <c r="M2" t="s">
        <v>82</v>
      </c>
      <c r="T2" s="173"/>
      <c r="V2" s="173"/>
      <c r="W2" s="199"/>
      <c r="X2" s="173"/>
      <c r="Y2" s="174"/>
      <c r="Z2" s="199"/>
      <c r="AA2" s="173"/>
      <c r="AB2" s="174"/>
      <c r="AC2" s="175"/>
      <c r="AD2" s="99"/>
      <c r="AF2" t="s">
        <v>45</v>
      </c>
      <c r="AG2">
        <f>6378137*2*PI()/21600/1852</f>
        <v>1.0017952735175808</v>
      </c>
    </row>
    <row r="3" spans="1:34" ht="12.75" customHeight="1" thickBot="1">
      <c r="A3" s="42">
        <v>2</v>
      </c>
      <c r="B3" s="190" t="s">
        <v>74</v>
      </c>
      <c r="C3" s="55">
        <v>2</v>
      </c>
      <c r="D3" s="51" t="s">
        <v>29</v>
      </c>
      <c r="E3" s="42">
        <v>2</v>
      </c>
      <c r="F3" s="43" t="s">
        <v>30</v>
      </c>
      <c r="G3" s="44">
        <v>2</v>
      </c>
      <c r="H3" s="45" t="s">
        <v>15</v>
      </c>
      <c r="I3" s="42">
        <v>2</v>
      </c>
      <c r="J3" s="67" t="s">
        <v>47</v>
      </c>
      <c r="K3" s="51">
        <v>0.1</v>
      </c>
      <c r="M3" t="str">
        <f>IF(OR(A11=1,AND(A11=3,T23=1)),"DEGREES","")</f>
        <v/>
      </c>
      <c r="T3" s="173"/>
      <c r="V3" s="67"/>
      <c r="W3" s="81"/>
      <c r="X3" s="176"/>
      <c r="Y3" s="176"/>
      <c r="Z3" s="175"/>
      <c r="AA3" s="67"/>
      <c r="AB3" s="174"/>
      <c r="AC3" s="174"/>
      <c r="AD3" s="99"/>
    </row>
    <row r="4" spans="1:34" ht="12.75" customHeight="1" thickBot="1">
      <c r="A4" s="42">
        <v>3</v>
      </c>
      <c r="B4" s="191" t="s">
        <v>75</v>
      </c>
      <c r="C4" s="55">
        <v>3</v>
      </c>
      <c r="D4" s="51" t="s">
        <v>9</v>
      </c>
      <c r="E4" s="44">
        <v>3</v>
      </c>
      <c r="F4" s="47" t="s">
        <v>12</v>
      </c>
      <c r="I4" s="42">
        <v>3</v>
      </c>
      <c r="J4" s="33" t="s">
        <v>46</v>
      </c>
      <c r="K4" s="51">
        <v>0.5</v>
      </c>
      <c r="T4" s="67"/>
      <c r="V4" s="33"/>
      <c r="W4" s="200"/>
      <c r="X4" s="176"/>
      <c r="Y4" s="176"/>
      <c r="Z4" s="175"/>
      <c r="AA4" s="55"/>
      <c r="AB4" s="55"/>
      <c r="AC4" s="174"/>
      <c r="AD4" s="100"/>
      <c r="AG4">
        <v>1.0017952735175799</v>
      </c>
    </row>
    <row r="5" spans="1:34" ht="12.75" customHeight="1" thickBot="1">
      <c r="A5" s="44">
        <v>4</v>
      </c>
      <c r="B5" s="46" t="s">
        <v>16</v>
      </c>
      <c r="C5" s="55">
        <v>4</v>
      </c>
      <c r="D5" s="51" t="s">
        <v>31</v>
      </c>
      <c r="I5" s="50">
        <v>4</v>
      </c>
      <c r="J5" s="33" t="s">
        <v>53</v>
      </c>
      <c r="K5" s="51">
        <v>1</v>
      </c>
      <c r="T5" s="33"/>
      <c r="U5" s="33"/>
      <c r="V5" s="146"/>
      <c r="Z5" s="175"/>
      <c r="AA5" s="176"/>
      <c r="AB5" s="200">
        <v>3</v>
      </c>
      <c r="AC5" s="176">
        <f>ROUND('GREAT CIRCLE'!G6-'GREAT CIRCLE'!G7,2)</f>
        <v>230.77</v>
      </c>
      <c r="AD5" s="176">
        <f>ROUND('GREAT CIRCLE'!G7-'GREAT CIRCLE'!G4,2)</f>
        <v>28.93</v>
      </c>
    </row>
    <row r="6" spans="1:34" ht="12.75" customHeight="1" thickBot="1">
      <c r="A6" s="33"/>
      <c r="B6" s="33"/>
      <c r="C6" s="145">
        <v>5</v>
      </c>
      <c r="D6" s="53" t="s">
        <v>33</v>
      </c>
      <c r="E6" s="55"/>
      <c r="I6" s="50">
        <v>5</v>
      </c>
      <c r="J6" s="33" t="s">
        <v>48</v>
      </c>
      <c r="K6" s="51">
        <v>2</v>
      </c>
      <c r="T6" s="55"/>
      <c r="U6" s="33"/>
      <c r="V6" s="146"/>
      <c r="Z6" s="175"/>
      <c r="AA6" s="176"/>
      <c r="AB6" s="174"/>
      <c r="AC6" s="175"/>
      <c r="AD6" s="100"/>
    </row>
    <row r="7" spans="1:34" ht="12.75" customHeight="1" thickBot="1">
      <c r="A7" s="38"/>
      <c r="B7" s="38"/>
      <c r="E7" s="142" t="s">
        <v>81</v>
      </c>
      <c r="F7" s="143">
        <f>IF(OR(A11=1,AND(A11=3,T23=1),A11=2),1,2)</f>
        <v>1</v>
      </c>
      <c r="G7" s="120" t="str">
        <f>IF(OR(A11=1,AND(A11=3,T23=1)),"LAT DIV",IF(A11=4,"","WP NR."))</f>
        <v>WP NR.</v>
      </c>
      <c r="H7" s="143" t="str">
        <f>IF(OR(A11=1,AND(A11=3,T23=1)),"DEGREES",IF(A11=4,"","MIN 3 WP; MAX 51 WP"))</f>
        <v>MIN 3 WP; MAX 51 WP</v>
      </c>
      <c r="I7" s="50">
        <v>6</v>
      </c>
      <c r="J7" s="33" t="s">
        <v>49</v>
      </c>
      <c r="K7" s="51">
        <v>2.5</v>
      </c>
      <c r="U7" s="177"/>
      <c r="V7" s="67"/>
      <c r="W7" s="67"/>
      <c r="X7" s="67"/>
      <c r="Y7" s="174"/>
      <c r="Z7" s="174"/>
      <c r="AA7" s="174"/>
      <c r="AB7" s="174"/>
      <c r="AD7" s="100"/>
    </row>
    <row r="8" spans="1:34" ht="12.75" customHeight="1">
      <c r="E8" t="s">
        <v>80</v>
      </c>
      <c r="F8" s="61">
        <f>IF(OR(A11=1,A11=2,A11=4,AND(A11=3,T23=2)),1,2)</f>
        <v>1</v>
      </c>
      <c r="I8" s="50">
        <v>7</v>
      </c>
      <c r="J8" s="33" t="s">
        <v>50</v>
      </c>
      <c r="K8" s="51">
        <v>5</v>
      </c>
      <c r="U8" s="177"/>
      <c r="V8" s="67"/>
      <c r="W8" s="67"/>
      <c r="X8" s="67"/>
      <c r="Y8" s="174"/>
      <c r="Z8" s="178"/>
      <c r="AA8" s="174"/>
      <c r="AB8" s="67"/>
      <c r="AC8" s="174"/>
      <c r="AD8" s="101"/>
    </row>
    <row r="9" spans="1:34" ht="12.75" customHeight="1" thickBot="1">
      <c r="F9" s="61">
        <f>IF(OR(AND(A11=3,T23=2),AND(A11=4,AB18=2)),1,2)</f>
        <v>2</v>
      </c>
      <c r="I9" s="52">
        <v>8</v>
      </c>
      <c r="J9" s="45" t="s">
        <v>51</v>
      </c>
      <c r="K9" s="53">
        <v>10</v>
      </c>
      <c r="U9" s="67"/>
      <c r="V9" s="67"/>
      <c r="W9" s="179"/>
      <c r="X9" s="179"/>
      <c r="Y9" s="174"/>
      <c r="Z9" s="174"/>
      <c r="AA9" s="174"/>
      <c r="AB9" s="174"/>
      <c r="AC9" s="174"/>
      <c r="AD9" s="99"/>
      <c r="AE9" s="66"/>
    </row>
    <row r="10" spans="1:34" ht="12.75" customHeight="1" thickBot="1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N10" s="55"/>
      <c r="O10" s="33"/>
      <c r="P10" s="55"/>
      <c r="T10" s="125"/>
      <c r="U10" s="67"/>
      <c r="V10" s="67"/>
      <c r="W10" s="67"/>
      <c r="X10" s="67"/>
      <c r="Y10" s="174"/>
      <c r="Z10" s="174"/>
      <c r="AA10" s="174"/>
      <c r="AB10" s="221">
        <f>IF(AD16=M16,1,2)</f>
        <v>1</v>
      </c>
      <c r="AC10" s="174"/>
      <c r="AD10" s="102"/>
    </row>
    <row r="11" spans="1:34">
      <c r="A11">
        <f>MATCH('GREAT CIRCLE'!K2,LAT,0)</f>
        <v>2</v>
      </c>
      <c r="B11">
        <f>VLOOKUP(MATCH('GREAT CIRCLE'!K3,NOO,0),GC!I2:K9,3)</f>
        <v>5</v>
      </c>
      <c r="C11">
        <f>MATCH('GREAT CIRCLE'!K4,SIMPLE,0)</f>
        <v>5</v>
      </c>
      <c r="D11">
        <f>MATCH('GREAT CIRCLE'!K5,TC,0)</f>
        <v>1</v>
      </c>
      <c r="E11">
        <f>MATCH('GREAT CIRCLE'!K6,YES,0)</f>
        <v>2</v>
      </c>
      <c r="F11">
        <f>MATCH('GREAT CIRCLE'!K7,YES,0)</f>
        <v>2</v>
      </c>
      <c r="G11">
        <f>MATCH('GREAT CIRCLE'!K8,NOO,0)</f>
        <v>1</v>
      </c>
      <c r="V11" s="62"/>
      <c r="W11" s="62"/>
      <c r="X11" s="62"/>
      <c r="Y11" s="99"/>
      <c r="Z11" s="99"/>
      <c r="AA11" s="99"/>
      <c r="AB11" s="99"/>
      <c r="AC11" s="99"/>
      <c r="AD11" s="99"/>
    </row>
    <row r="12" spans="1:34">
      <c r="G12" t="str">
        <f>VLOOKUP(G11,I2:K9,3)</f>
        <v>X</v>
      </c>
      <c r="I12" s="181"/>
      <c r="AH12" s="32"/>
    </row>
    <row r="13" spans="1:34" ht="13.5" thickBot="1">
      <c r="B13" t="s">
        <v>3</v>
      </c>
      <c r="C13" t="s">
        <v>4</v>
      </c>
      <c r="D13" s="55" t="s">
        <v>59</v>
      </c>
      <c r="E13" s="55" t="s">
        <v>60</v>
      </c>
      <c r="F13" s="55" t="s">
        <v>2</v>
      </c>
      <c r="G13" s="55" t="s">
        <v>64</v>
      </c>
      <c r="H13" s="55" t="s">
        <v>65</v>
      </c>
      <c r="X13" s="32"/>
    </row>
    <row r="14" spans="1:34" ht="13.5" thickBot="1">
      <c r="A14">
        <v>1</v>
      </c>
      <c r="B14" s="48">
        <f>TRUNC('GREAT CIRCLE'!C4/100)+('GREAT CIRCLE'!C4/100-TRUNC('GREAT CIRCLE'!C4/100))/0.6</f>
        <v>46.333333333333336</v>
      </c>
      <c r="C14" s="49">
        <f>TRUNC('GREAT CIRCLE'!D4/100)+('GREAT CIRCLE'!D4/100-TRUNC('GREAT CIRCLE'!D4/100))/0.6</f>
        <v>140.50000000000003</v>
      </c>
      <c r="D14" s="120">
        <f>B15-B14</f>
        <v>-11.333333333333336</v>
      </c>
      <c r="E14" s="120">
        <f>IF((C15-C14)&lt;-180,(C15-C14)+360,IF((C15-C14)&gt;180,(C15-C14)-360,(C15-C14)))</f>
        <v>95</v>
      </c>
      <c r="F14" s="121">
        <f>DEGREES(ACOS(SIN(RADIANS(B14))*SIN(RADIANS(B15))+COS(RADIANS(B14))*COS(RADIANS(B15))*COS(RADIANS(E14))))*60</f>
        <v>4113.2823326399148</v>
      </c>
      <c r="G14" s="121">
        <f>DEGREES(ACOS((SIN(RADIANS(B15))-SIN(RADIANS(B14))*COS(RADIANS(F15/60)))/(SIN(RADIANS(F15/60))*COS(RADIANS(B14)))))</f>
        <v>61.250835012301167</v>
      </c>
      <c r="H14" s="121">
        <f>DEGREES(ACOS((SIN(RADIANS(B14))-SIN(RADIANS(B15))*COS(RADIANS(F15/60)))/(SIN(RADIANS(F15/60))*COS(RADIANS(B15)))))</f>
        <v>47.646063285853792</v>
      </c>
      <c r="I14" s="185">
        <f>ROUND('GREAT CIRCLE'!C8,0)</f>
        <v>5</v>
      </c>
      <c r="J14" s="127"/>
    </row>
    <row r="15" spans="1:34" ht="13.5" thickBot="1">
      <c r="A15">
        <v>2</v>
      </c>
      <c r="B15" s="52">
        <f>TRUNC('GREAT CIRCLE'!C5/100)+('GREAT CIRCLE'!C5/100-TRUNC('GREAT CIRCLE'!C5/100))/0.6</f>
        <v>35</v>
      </c>
      <c r="C15" s="53">
        <f>TRUNC('GREAT CIRCLE'!D5/100)+('GREAT CIRCLE'!D5/100-TRUNC('GREAT CIRCLE'!D5/100))/0.6</f>
        <v>-124.5</v>
      </c>
      <c r="F15" s="122">
        <f>IF(F11=1,F14*1.00179527351758,F14)</f>
        <v>4113.2823326399148</v>
      </c>
      <c r="G15" s="123">
        <f>IF(E14&lt;0,360-G14,G14)</f>
        <v>61.250835012301167</v>
      </c>
      <c r="H15" s="123">
        <f>IF(E14&gt;0,180-H14,180+H14)</f>
        <v>132.35393671414622</v>
      </c>
      <c r="I15" s="186">
        <f>IF(OR(AND(C14&gt;0,E14&gt;0),AND(C14&lt;0,E14&lt;0)),ROUNDUP($C$14/I14,)*I14,TRUNC($C$14/I14,)*I14)</f>
        <v>145</v>
      </c>
      <c r="J15" s="126"/>
      <c r="P15" s="222">
        <v>1</v>
      </c>
      <c r="Q15" s="222"/>
      <c r="R15" s="63">
        <v>4</v>
      </c>
      <c r="S15" s="63"/>
      <c r="T15">
        <v>23</v>
      </c>
      <c r="V15" s="63"/>
      <c r="W15">
        <v>14</v>
      </c>
      <c r="X15" s="246" t="s">
        <v>41</v>
      </c>
      <c r="Y15" s="247"/>
      <c r="Z15" s="247"/>
      <c r="AA15" s="247"/>
      <c r="AB15" s="248"/>
      <c r="AC15" s="174">
        <f>IF(AD17&gt;0,IF(AND(M16&gt;=AD16,M16&lt;=AD17),1,0),IF(AND(M16&gt;=AD17,M16&lt;=AD16),1,0))</f>
        <v>1</v>
      </c>
    </row>
    <row r="16" spans="1:34" ht="13.5" thickBot="1">
      <c r="B16" s="212" t="s">
        <v>25</v>
      </c>
      <c r="C16" s="212"/>
      <c r="I16" s="187">
        <f>IF(OR(AND(C15&gt;0,E14&gt;0),AND(C15&lt;0,E14&lt;0)),TRUNC($C$15/I14,)*I14,ROUNDUP($C$15/I14,)*I14)</f>
        <v>-125</v>
      </c>
      <c r="M16" s="39">
        <f>TRUNC('GREAT CIRCLE'!F8/100)+('GREAT CIRCLE'!F8/100-TRUNC('GREAT CIRCLE'!F8/100))/0.6</f>
        <v>46.333333333333336</v>
      </c>
      <c r="N16" s="40">
        <f>DEGREES(ACOS(TAN(RADIANS(B14))/TAN(RADIANS(M16))))</f>
        <v>0</v>
      </c>
      <c r="O16" s="40">
        <f>IF(T23=1,IF(E14&gt;0,C14+N16,C14-N16),IF(OR(AND(B14&lt;0,G14&lt;90,E14&lt;0),AND(B14&lt;0,G14&gt;90,E14&gt;0),AND(B14&gt;0,G14&gt;90,E14&lt;0),AND(B14&gt;0,G14&lt;90,E14&gt;0)),C14+N16,C14-N16))</f>
        <v>140.50000000000003</v>
      </c>
      <c r="P16" s="215">
        <f>IF(O16&gt;180,O16-360,IF(O16&lt;-180,O16+360,O16))</f>
        <v>140.50000000000003</v>
      </c>
      <c r="Q16" s="224">
        <f>IF(P16="","",TRUNC(P16)*100+(P16-TRUNC(P16))*60)</f>
        <v>14030.000000000002</v>
      </c>
      <c r="R16" s="225" t="e">
        <f>TRUNC(Q16/100)+(ROUND(((Q16/100-TRUNC(Q16/100))*100)/$G$12,)*$G$12)/60</f>
        <v>#VALUE!</v>
      </c>
      <c r="S16" s="48">
        <f>IF($G$12="X",P16,R16)</f>
        <v>140.50000000000003</v>
      </c>
      <c r="T16" s="228">
        <f>IF(N16=0,P16,S16)</f>
        <v>140.50000000000003</v>
      </c>
      <c r="U16" s="39">
        <f>IF(OR(AND(T16&gt;0,E14&gt;0),AND(T16&lt;0,E14&lt;0)),TRUNC(T16/I14,)*I14,ROUNDUP(T16/I14,)*I14)</f>
        <v>140</v>
      </c>
      <c r="V16" s="41">
        <f>IF(U16=-180,180,U16)</f>
        <v>140</v>
      </c>
      <c r="W16" s="228">
        <f>IF(AND(N16&gt;0,N16&lt;I14),C14,V16)</f>
        <v>140</v>
      </c>
      <c r="X16" s="69">
        <f>IF(B14&gt;0,90-B14,90+B14)</f>
        <v>43.666666666666664</v>
      </c>
      <c r="Y16" s="40">
        <f>IF(X17&gt;X16,B14,B15)</f>
        <v>46.333333333333336</v>
      </c>
      <c r="Z16" s="40">
        <f>ABS(((3437.74677078*(LN((TAN(RADIANS(45+B15/2)))/(TAN(RADIANS(45+B14/2)))))-((SIN(RADIANS(B15))-SIN(RADIANS(B14)))*23.0135831934767)-((SIN(RADIANS(B15))^3)-(SIN(RADIANS(B14))^3))*(0.051353890277194)-((SIN(RADIANS(B15))^5)-(SIN(RADIANS(B14))^5))*(0.000206269473292)))*TAN(ASIN(((3437.74677078*(LN((TAN(RADIANS(45+B15/2)))/(TAN(RADIANS(45+B14/2)))))-((SIN(RADIANS(B15))-SIN(RADIANS(B14)))*23.0135831934767)-((SIN(RADIANS(B15))^3)-(SIN(RADIANS(B14))^3))*(0.051353890277194)-((SIN(RADIANS(B15))^5)-(SIN(RADIANS(B14))^5))*(0.000206269473292)))*(COS(RADIANS(Y16))/((1-0.0818191908426215^2*((SIN(RADIANS(Y16))^2)))^0.5))/(((60.006994*D14)-8.660102*(SIN(RADIANS((2*B15)))-SIN(RADIANS((2*B14))))))))/60)</f>
        <v>33.370224527358303</v>
      </c>
      <c r="AA16" s="40">
        <f>IF(E14&gt;0,C14+Z16,C14-Z16)</f>
        <v>173.87022452735835</v>
      </c>
      <c r="AB16" s="41">
        <f>IF(AA16&gt;180,AA16-360,IF(AA16&lt;-180,AA16+360,AA16))</f>
        <v>173.87022452735835</v>
      </c>
      <c r="AC16" s="40" t="s">
        <v>42</v>
      </c>
      <c r="AD16" s="40">
        <f>Y16</f>
        <v>46.333333333333336</v>
      </c>
      <c r="AE16" s="40">
        <f>TRUNC(AD16)*100+(AD16-TRUNC(AD16))*60</f>
        <v>4620</v>
      </c>
      <c r="AF16" s="41" t="str">
        <f>CONCATENATE("MIN: ",TEXT(AE16,"[&gt;0]#00°00.00' \N;#00°00.00' \S;#"))</f>
        <v>MIN: 46°20.00' N</v>
      </c>
    </row>
    <row r="17" spans="1:61" ht="13.5" thickBot="1">
      <c r="A17" s="125"/>
      <c r="B17" s="124">
        <f>IF(A11=3,M16,DEGREES(ACOS(COS(RADIANS(B14))*SIN(RADIANS(G14)))))</f>
        <v>52.745890698564274</v>
      </c>
      <c r="C17" s="134">
        <f>DEGREES(ACOS(TAN(RADIANS((B14)))/TAN(RADIANS(B18))))</f>
        <v>37.176519225932424</v>
      </c>
      <c r="D17" s="39">
        <f>IF(C19&gt;0,C19-90,C19+90)</f>
        <v>87.676519225932452</v>
      </c>
      <c r="E17" s="41">
        <f>IF(D17&lt;0,D17+180,D17-180)</f>
        <v>-92.323480774067548</v>
      </c>
      <c r="H17" s="38"/>
      <c r="I17">
        <f>IF(AND(A11=3,I14&gt;51),2,1)</f>
        <v>1</v>
      </c>
      <c r="M17" s="44">
        <f>IF(TAN(RADIANS(B14))/TAN(RADIANS(M16))&gt;1,1,2)</f>
        <v>2</v>
      </c>
      <c r="N17" s="45">
        <f>DEGREES(ACOS(TAN(RADIANS(B15))/TAN(RADIANS(M16))))</f>
        <v>48.059853911251622</v>
      </c>
      <c r="O17" s="45">
        <f>IF(T23=1,IF(E14&lt;0,C15+N17,C15-N17),IF(OR(AND(B15&lt;0,H14&lt;90,E14&gt;0),AND(B15&lt;0,H14&gt;90,E14&lt;0),AND(B15&gt;0,H14&gt;90,E14&gt;0),AND(B15&gt;0,H14&lt;90,E14&lt;0)),C15+N17,C15-N17))</f>
        <v>-172.55985391125162</v>
      </c>
      <c r="P17" s="216">
        <f>IF(O17&gt;180,O17-360,IF(O17&lt;-180,O17+360,O17))</f>
        <v>-172.55985391125162</v>
      </c>
      <c r="Q17" s="73">
        <f>IF(P17="","",TRUNC(P17)*100+(P17-TRUNC(P17))*60)</f>
        <v>-17233.591234675096</v>
      </c>
      <c r="R17" s="226" t="e">
        <f>TRUNC(Q17/100)+(ROUND(((Q17/100-TRUNC(Q17/100))*100)/$G$12,)*$G$12)/60</f>
        <v>#VALUE!</v>
      </c>
      <c r="S17" s="227">
        <f>IF($G$12="X",P17,R17)</f>
        <v>-172.55985391125162</v>
      </c>
      <c r="T17" s="229">
        <f>IF(N17=0,P17,S17)</f>
        <v>-172.55985391125162</v>
      </c>
      <c r="U17" s="44">
        <f>IF(OR(AND(T17&gt;0,E14&gt;0),AND(T17&lt;0,E14&lt;0)),ROUNDUP(T17/I14,)*I14,TRUNC(T17/I14,)*I14)</f>
        <v>-170</v>
      </c>
      <c r="V17" s="46">
        <f>IF(U17=T17,IF($E$14&gt;0,IF(U17+$I$14&gt;180,U17+$I$14-360,IF(U17+$I$14&lt;-180,U17+$I$14+360,U17+$I$14)),IF(U17-$I$14&gt;180,U17-$I$14-360,IF(U17-$I$14&lt;-180,U17-$I$14+360,U17-$I$14))),U17)</f>
        <v>-170</v>
      </c>
      <c r="W17" s="229">
        <f>IF(AND(E14&gt;0,V17=-180),180,V17)</f>
        <v>-170</v>
      </c>
      <c r="X17" s="70">
        <f>IF(B15&gt;0,90-B15,90+B15)</f>
        <v>55</v>
      </c>
      <c r="Y17" s="45"/>
      <c r="Z17" s="45"/>
      <c r="AA17" s="45">
        <f>TRUNC(AB16)*100+(AB16-TRUNC(AB16))*60</f>
        <v>17352.213471641502</v>
      </c>
      <c r="AB17" s="71">
        <f>IF($G$12="X",AB16,(TRUNC(AA17/100)+(ROUND(((AA17/100-TRUNC(AA17/100))*100)/$G$12,)*$G$12)/60))</f>
        <v>173.87022452735835</v>
      </c>
      <c r="AC17" s="45" t="s">
        <v>43</v>
      </c>
      <c r="AD17" s="45">
        <f>IF(AND(G14&gt;90,H14&gt;90),-DEGREES(ACOS(COS(RADIANS(B14))*SIN(RADIANS(G14)))),DEGREES(ACOS(COS(RADIANS(B14))*SIN(RADIANS(G14)))))</f>
        <v>52.745890698564274</v>
      </c>
      <c r="AE17" s="45">
        <f>TRUNC(AD17)*100+(AD17-TRUNC(AD17))*60</f>
        <v>5244.7534419138565</v>
      </c>
      <c r="AF17" s="46" t="str">
        <f>CONCATENATE("MAX: ",TEXT(AE17,"[&gt;0]#00°00.00' \N;#00°00.00' \S;#"))</f>
        <v>MAX: 52°44.75' N</v>
      </c>
    </row>
    <row r="18" spans="1:61" ht="13.5" thickBot="1">
      <c r="A18" s="125"/>
      <c r="B18" s="42">
        <f>IF(A11=3,M16,IF(OR(B14&lt;0,AND(G14&gt;90,H14&gt;90)),-B17,B17))</f>
        <v>52.745890698564274</v>
      </c>
      <c r="C18" s="92">
        <f>IF(T23=1,IF(E14&gt;0,C14+C17,C14-C17),IF(OR(AND(B14&lt;0,G14&lt;90,E14&lt;0),AND(B14&lt;0,G14&gt;90,E14&gt;0),AND(B14&gt;0,G14&gt;90,E14&lt;0),AND(B14&gt;0,G14&lt;90,E14&gt;0)),C14+C17,C14-C17))</f>
        <v>177.67651922593245</v>
      </c>
      <c r="D18" s="44">
        <f>TRUNC(D17)*100+(D17-TRUNC(D17))*60</f>
        <v>8740.5911535559462</v>
      </c>
      <c r="E18" s="46">
        <f>TRUNC(E17)*100+(E17-TRUNC(E17))*60</f>
        <v>-9219.4088464440538</v>
      </c>
      <c r="G18" s="32"/>
      <c r="H18" s="38"/>
      <c r="W18" s="55"/>
      <c r="X18" s="33"/>
      <c r="Y18" s="33"/>
      <c r="Z18" s="33"/>
      <c r="AA18" s="33">
        <f>IF((AB17-C14)&lt;-180,(AB17-C14)+360,IF((AB17-C14)&gt;180,(AB17-C14)-360,(AB17-C14)))</f>
        <v>33.370224527358317</v>
      </c>
      <c r="AB18">
        <f>IF(OR(AND(E14&gt;0,AA18&lt;E14),AND(E14&lt;0,AA18&gt;E14)),1,2)</f>
        <v>1</v>
      </c>
    </row>
    <row r="19" spans="1:61">
      <c r="B19" s="42"/>
      <c r="C19" s="92">
        <f>IF(C18&lt;-180,C18+360,IF(C18&gt;180,C18-360,C18))</f>
        <v>177.67651922593245</v>
      </c>
      <c r="F19" s="38"/>
      <c r="G19" s="188"/>
      <c r="J19" s="32"/>
      <c r="T19" s="76" t="e">
        <f>MATCH(M16,$S$25:$S$75,0)</f>
        <v>#N/A</v>
      </c>
      <c r="U19" s="32">
        <f>IF(M16&gt;0,MATCH(MAX($Q$25:$Q$75),$Q$25:$Q$75,0),MATCH(MIN($Q$25:$Q$75),$Q$25:$Q$75,0))</f>
        <v>3</v>
      </c>
      <c r="W19" s="146"/>
      <c r="X19" s="33"/>
      <c r="Y19" s="33"/>
      <c r="Z19" s="33"/>
      <c r="AA19" s="33"/>
      <c r="BC19">
        <v>60</v>
      </c>
    </row>
    <row r="20" spans="1:61" ht="13.5" thickBot="1">
      <c r="B20" s="64">
        <f>TRUNC(B18)*100+(B18-TRUNC(B18))*60</f>
        <v>5244.7534419138565</v>
      </c>
      <c r="C20" s="65">
        <f>TRUNC(C19)*100+(C19-TRUNC(C19))*60</f>
        <v>17740.591153555946</v>
      </c>
      <c r="F20" s="38"/>
      <c r="G20" s="38"/>
      <c r="H20" s="32"/>
      <c r="I20" s="32"/>
      <c r="J20" s="32"/>
      <c r="Q20" s="32"/>
      <c r="R20" s="32"/>
      <c r="S20" s="32"/>
      <c r="T20" s="180" t="e">
        <f>IF(T19=1,2,COUNTIF(S25:S75,M16)+MATCH(M16,$S$25:$S$75,0)-1)</f>
        <v>#N/A</v>
      </c>
      <c r="U20" s="32">
        <f>IF(M16&gt;0,COUNTIF(Q25:Q75,MAX($Q$25:$Q$75))+MATCH(MAX($Q$25:$Q$75),$Q$25:$Q$75,0)-1,COUNTIF(Q25:Q75,MIN($Q$25:$Q$75))+MATCH(MIN($Q$25:$Q$75),$Q$25:$Q$75,0)-1)</f>
        <v>3</v>
      </c>
      <c r="V20" s="32"/>
      <c r="W20" s="33"/>
      <c r="X20" s="33"/>
      <c r="Z20" s="33"/>
      <c r="AA20" s="33"/>
      <c r="BC20">
        <f>1/COS(RADIANS(BC19))</f>
        <v>1.9999999999999996</v>
      </c>
    </row>
    <row r="21" spans="1:61" ht="13.5" thickBot="1">
      <c r="B21" s="63"/>
      <c r="C21" s="63"/>
      <c r="H21" s="32"/>
      <c r="I21" s="32"/>
      <c r="J21" s="184"/>
      <c r="M21" s="32"/>
      <c r="T21" s="77">
        <f>MATCH("",S25:S75,0)-1</f>
        <v>5</v>
      </c>
      <c r="V21" s="61"/>
    </row>
    <row r="22" spans="1:61" ht="13.5" thickBot="1">
      <c r="A22" s="193"/>
      <c r="B22" s="194"/>
      <c r="C22" s="213">
        <v>1</v>
      </c>
      <c r="D22" s="223">
        <v>3</v>
      </c>
      <c r="E22" s="195">
        <v>4</v>
      </c>
      <c r="F22" s="193"/>
      <c r="G22" s="194"/>
      <c r="H22" s="194"/>
      <c r="I22" s="194"/>
      <c r="J22" s="195"/>
      <c r="K22" s="74"/>
      <c r="L22" s="74"/>
      <c r="M22" s="74"/>
      <c r="N22" s="74"/>
      <c r="O22" s="74"/>
      <c r="P22" s="74"/>
      <c r="Q22" s="74"/>
      <c r="R22" s="74"/>
      <c r="S22" s="74"/>
      <c r="T22" s="78">
        <f>MATCH(B15,$S$25:$S$75,0)</f>
        <v>5</v>
      </c>
      <c r="W22" s="33"/>
      <c r="X22" s="33"/>
      <c r="Y22" s="55"/>
      <c r="Z22" s="55"/>
      <c r="AA22" s="55"/>
      <c r="AB22" s="85"/>
      <c r="AC22" s="38"/>
      <c r="AD22" s="38"/>
    </row>
    <row r="23" spans="1:61" ht="13.5" thickBot="1">
      <c r="A23" s="42"/>
      <c r="B23" s="33" t="s">
        <v>32</v>
      </c>
      <c r="C23" s="220">
        <v>1</v>
      </c>
      <c r="D23" s="214"/>
      <c r="E23" s="41">
        <v>4</v>
      </c>
      <c r="F23" s="42"/>
      <c r="G23" s="33" t="s">
        <v>40</v>
      </c>
      <c r="H23" s="68"/>
      <c r="I23" s="74"/>
      <c r="J23" s="75">
        <v>2</v>
      </c>
      <c r="K23" s="74"/>
      <c r="L23" s="33"/>
      <c r="M23" s="33"/>
      <c r="N23" s="33"/>
      <c r="O23" s="33"/>
      <c r="P23" s="33"/>
      <c r="Q23" s="33"/>
      <c r="R23" s="33"/>
      <c r="S23" s="33"/>
      <c r="T23">
        <f>IF(OR(AND(G14&lt;90,H14&lt;90),AND(G14&gt;90,H14&gt;90)),1,2)</f>
        <v>1</v>
      </c>
      <c r="U23" s="74"/>
      <c r="W23" s="74"/>
      <c r="X23" s="74"/>
      <c r="Y23" s="86"/>
      <c r="Z23" s="68"/>
      <c r="AA23" s="68"/>
      <c r="AB23" s="246" t="s">
        <v>63</v>
      </c>
      <c r="AC23" s="247"/>
      <c r="AD23" s="248"/>
      <c r="AE23" s="253" t="s">
        <v>61</v>
      </c>
      <c r="AF23" s="254"/>
      <c r="AG23" s="254"/>
      <c r="AH23" s="254"/>
      <c r="AI23" s="255"/>
      <c r="AJ23" s="253" t="s">
        <v>62</v>
      </c>
      <c r="AK23" s="254"/>
      <c r="AL23" s="254"/>
      <c r="AM23" s="254"/>
      <c r="AN23" s="255"/>
      <c r="AO23" s="250" t="s">
        <v>61</v>
      </c>
      <c r="AP23" s="251"/>
      <c r="AQ23" s="253" t="s">
        <v>62</v>
      </c>
      <c r="AR23" s="254"/>
      <c r="AS23" s="254"/>
      <c r="AT23" s="254"/>
      <c r="AU23" s="255"/>
      <c r="AV23" s="104" t="s">
        <v>62</v>
      </c>
    </row>
    <row r="24" spans="1:61">
      <c r="A24" s="42"/>
      <c r="B24" s="33"/>
      <c r="C24" s="77"/>
      <c r="D24" s="33"/>
      <c r="E24" s="43"/>
      <c r="F24" s="42"/>
      <c r="G24" s="9">
        <f>IF(I17=2,ABS(E14/50),ABS(E14/(I14-1)))</f>
        <v>23.75</v>
      </c>
      <c r="H24" s="9"/>
      <c r="I24" s="33"/>
      <c r="J24" s="43"/>
      <c r="K24" s="33"/>
      <c r="L24" s="55">
        <v>1</v>
      </c>
      <c r="M24" s="33">
        <v>2</v>
      </c>
      <c r="N24" s="33"/>
      <c r="O24" s="55"/>
      <c r="P24" s="33"/>
      <c r="Q24" s="9"/>
      <c r="R24" s="9"/>
      <c r="S24" s="9"/>
      <c r="T24" s="246" t="s">
        <v>55</v>
      </c>
      <c r="U24" s="247"/>
      <c r="V24" s="247"/>
      <c r="W24" s="248"/>
      <c r="X24" s="90" t="s">
        <v>3</v>
      </c>
      <c r="Y24" s="94" t="s">
        <v>4</v>
      </c>
      <c r="Z24" s="95" t="s">
        <v>59</v>
      </c>
      <c r="AA24" s="96" t="s">
        <v>60</v>
      </c>
      <c r="AB24" s="42">
        <v>2</v>
      </c>
      <c r="AC24" s="33">
        <v>4</v>
      </c>
      <c r="AD24" s="43">
        <v>5</v>
      </c>
      <c r="AE24" s="42">
        <v>1</v>
      </c>
      <c r="AF24" s="33">
        <v>2</v>
      </c>
      <c r="AG24" s="33">
        <v>3</v>
      </c>
      <c r="AH24" s="33">
        <v>4</v>
      </c>
      <c r="AI24" s="43">
        <v>5</v>
      </c>
      <c r="AJ24" s="42">
        <v>1</v>
      </c>
      <c r="AK24" s="33">
        <v>2</v>
      </c>
      <c r="AL24" s="33">
        <v>3</v>
      </c>
      <c r="AM24" s="33">
        <v>4</v>
      </c>
      <c r="AN24" s="43">
        <v>5</v>
      </c>
      <c r="AO24" s="42"/>
      <c r="AP24" s="43"/>
      <c r="AQ24" s="42">
        <v>1</v>
      </c>
      <c r="AR24" s="33">
        <v>2</v>
      </c>
      <c r="AS24" s="33">
        <v>3</v>
      </c>
      <c r="AT24" s="33">
        <v>4</v>
      </c>
      <c r="AU24" s="43">
        <v>5</v>
      </c>
      <c r="AV24" s="105"/>
      <c r="AW24" s="109" t="s">
        <v>3</v>
      </c>
      <c r="AX24" s="110" t="s">
        <v>4</v>
      </c>
      <c r="AY24" s="110" t="s">
        <v>56</v>
      </c>
      <c r="AZ24" s="110" t="s">
        <v>57</v>
      </c>
      <c r="BA24" s="111" t="s">
        <v>58</v>
      </c>
      <c r="BB24" s="55"/>
      <c r="BD24" t="s">
        <v>77</v>
      </c>
      <c r="BE24" t="s">
        <v>78</v>
      </c>
      <c r="BH24" t="s">
        <v>52</v>
      </c>
      <c r="BI24" t="s">
        <v>83</v>
      </c>
    </row>
    <row r="25" spans="1:61">
      <c r="A25" s="42">
        <v>1</v>
      </c>
      <c r="B25" s="33">
        <f>C14</f>
        <v>140.50000000000003</v>
      </c>
      <c r="C25" s="219">
        <f>C14</f>
        <v>140.50000000000003</v>
      </c>
      <c r="D25" s="218">
        <f>C14</f>
        <v>140.50000000000003</v>
      </c>
      <c r="E25" s="83">
        <f>C14</f>
        <v>140.50000000000003</v>
      </c>
      <c r="F25" s="42">
        <v>1</v>
      </c>
      <c r="G25" s="9">
        <f>C14</f>
        <v>140.50000000000003</v>
      </c>
      <c r="H25" s="9">
        <f>C14</f>
        <v>140.50000000000003</v>
      </c>
      <c r="I25" s="33"/>
      <c r="J25" s="83">
        <f>C14</f>
        <v>140.50000000000003</v>
      </c>
      <c r="K25" s="81">
        <v>1</v>
      </c>
      <c r="L25" s="82">
        <f>C14</f>
        <v>140.50000000000003</v>
      </c>
      <c r="M25" s="9">
        <f>IF($A$11=4,"",$C$19-L25)</f>
        <v>37.176519225932424</v>
      </c>
      <c r="N25" s="128">
        <f>IF($A$11=4,$B$14,IF(M25="","",IF(M26="",$B$15,DEGREES(ATAN(COS(RADIANS(M25))*TAN(RADIANS($B$18)))))))</f>
        <v>46.333333333333343</v>
      </c>
      <c r="O25" s="32"/>
      <c r="P25">
        <v>1</v>
      </c>
      <c r="Q25" s="56">
        <f>N25</f>
        <v>46.333333333333343</v>
      </c>
      <c r="R25" s="200">
        <f>IF(Q25="","",TRUNC(Q25)*100+(Q25-TRUNC(Q25))*60)</f>
        <v>4620.0000000000009</v>
      </c>
      <c r="S25" s="82">
        <f>TRUNC(R25/100)+(R25/100-TRUNC(R25/100))/0.6</f>
        <v>46.33333333333335</v>
      </c>
      <c r="T25" s="87">
        <f>MATCH(Q25,$Q$25:$Q$75,0)</f>
        <v>1</v>
      </c>
      <c r="U25" s="81">
        <f>T25</f>
        <v>1</v>
      </c>
      <c r="V25" s="88">
        <f>VLOOKUP(U25,$P$25:$Q$75,2)</f>
        <v>46.333333333333343</v>
      </c>
      <c r="W25" s="84">
        <f>VLOOKUP(U25,$K$25:$L$75,2)</f>
        <v>140.50000000000003</v>
      </c>
      <c r="X25" s="91">
        <f>IF(OR(AND($A$11=4,$AB$18=2),AND($A$11=3,$T$23=2)),"",B14)</f>
        <v>46.333333333333336</v>
      </c>
      <c r="Y25" s="56">
        <f>IF(OR(AND($A$11=4,$AB$18=2),AND($A$11=3,$T$23=2)),"",C14)</f>
        <v>140.50000000000003</v>
      </c>
      <c r="Z25" s="9">
        <f>IF(X26="","",IF(X26-X25&gt;180,X26-X25-360,IF(X26-X25&lt;-180,X26-X25+360,X26-X25)))</f>
        <v>5.6666666666666643</v>
      </c>
      <c r="AA25" s="43">
        <f>IF(Y26="","",IF(ABS(Y26-Y25)&lt;=180,Y26-Y25,(360-ABS(Y26-Y25))*-SIGN(Y26-Y25)))</f>
        <v>23.75</v>
      </c>
      <c r="AB25" s="98">
        <f>IF(X26="","",7915.70447*LOG(TAN(RADIANS((45+X26/2)))/TAN(RADIANS((45+X25/2)))))</f>
        <v>520.76997663930172</v>
      </c>
      <c r="AC25" s="9">
        <f>IF(X26="","",7915.70446789782*LOG((TAN(RADIANS(45+X26/2))*(((1-0.0818191908426215*SIN(RADIANS(X26)))/(1+0.0818191908426215*SIN(RADIANS(X26))))^(0.0818191908426215/2)))/(TAN(RADIANS(45+X25/2))*(((1-0.0818191908426215*SIN(RADIANS(X25)))/(1+0.0818191908426215*SIN(RADIANS(X25))))^(0.0818191908426215/2)))))</f>
        <v>519.27662473700411</v>
      </c>
      <c r="AD25" s="84">
        <f>IF(X26="","",DEGREES(ATAN2(3437.74677078*(LN((TAN(RADIANS(45+X26/2)))/(TAN(RADIANS(45+X25/2)))))-((SIN(RADIANS(X26))-SIN(RADIANS(X25)))*23.0135831934767)-((SIN(RADIANS(X26))^3)-(SIN(RADIANS(X25))^3))*(0.051353890277194)-((SIN(RADIANS(X26))^5)-(SIN(RADIANS(X25))^5))*(0.000206269473292),AA25*60)))</f>
        <v>69.978024530816143</v>
      </c>
      <c r="AE25" s="97">
        <f>IF(X26="","",IF(AA25&lt;0,360+DEGREES(ATAN2(Z25,AA25*COS(RADIANS((X26+X25)/2)))),DEGREES(ATAN2(Z25,AA25*COS(RADIANS((X26+X25)/2))))))</f>
        <v>69.952769042812321</v>
      </c>
      <c r="AF25" s="19">
        <f>IF(X26="","",IF(AA25&lt;0,360+DEGREES(ATAN2(AB25,AA25*60)),DEGREES(ATAN2(AB25,AA25*60))))</f>
        <v>69.925036997521445</v>
      </c>
      <c r="AG25" s="19">
        <f>AF25</f>
        <v>69.925036997521445</v>
      </c>
      <c r="AH25" s="19">
        <f>IF(X26="","",IF(AA25&lt;0,360+DEGREES(ATAN2(AC25,(AA25*60))),DEGREES(ATAN2(AC25,(AA25*60)))))</f>
        <v>69.978024533778395</v>
      </c>
      <c r="AI25" s="103">
        <f>IF(AA25&lt;0,360+AD25,AD25)</f>
        <v>69.978024530816143</v>
      </c>
      <c r="AJ25" s="98">
        <f>IF(X26="","",IF(Z25=0,(AA25*COS(RADIANS((X26+X25)/2)))*60/SIN(RADIANS(AE25)),Z25*60/COS(RADIANS(AE25))))</f>
        <v>991.84745379373271</v>
      </c>
      <c r="AK25" s="9">
        <f>IF(X26="","",ABS(IF(Z25=0,(AA25)*60*COS(RADIANS(X25)),IF(AA25=0,(Z25*60),(Z25/COS(RADIANS(AF25)))*60))))</f>
        <v>990.53370760691939</v>
      </c>
      <c r="AL25" s="9">
        <f>IF(AK25="","",AK25*1.00179527351758)</f>
        <v>992.31198654045636</v>
      </c>
      <c r="AM25" s="9">
        <f>IF(X26="","",ABS(IF(Z25=0,AA25*60*COS(RADIANS(X26)),(Z25/COS(RADIANS(AH25)))*60)))</f>
        <v>993.04711678669173</v>
      </c>
      <c r="AN25" s="92">
        <f>IF(X26="","",IF(Z25=0,ABS(AA25*60*COS(((ATAN(TAN(RADIANS(X26))*(1-0.08181919034^2)^0.5))))*1.001795274),IF(AA25=0,ABS(((60.006994*Z25)-8.660102*(SIN(RADIANS((2*X26)))-SIN(RADIANS((2*X25)))))),ABS((((60.006994*Z25)-8.660102*(SIN(RADIANS((2*X26)))-SIN(RADIANS((2*X25))))))/COS(RADIANS(AI25))))))</f>
        <v>993.88681620200168</v>
      </c>
      <c r="AO25" s="98">
        <f t="shared" ref="AO25:AO56" si="0">HLOOKUP($C$11,$AE$24:$AI$75,P25+1)</f>
        <v>69.978024530816143</v>
      </c>
      <c r="AP25" s="103">
        <f t="shared" ref="AP25:AP56" si="1">IF(X26="","",IF($D$11=3,ROUND(AO25,),IF($D$11=2,0.5*ROUND(AO25/0.5,),ROUND(AO25,1))))</f>
        <v>70</v>
      </c>
      <c r="AQ25" s="98">
        <f>IF(X26="","",IF(Z25=0,(AA25*COS(RADIANS((X26+X25)/2)))*60/SIN(RADIANS(AP25)),Z25*60/COS(RADIANS(AP25))))</f>
        <v>994.09349605544912</v>
      </c>
      <c r="AR25" s="9">
        <f>IF(X26="","",ABS(IF(Z25=0,(AA25)*60*COS(RADIANS(X25)),IF(AA25=0,(Z25*60),(Z25/COS(RADIANS(AP25)))*60))))</f>
        <v>994.09349605544901</v>
      </c>
      <c r="AS25" s="9">
        <f>IF(AR25="","",AR25*1.00179527351758)</f>
        <v>995.87816578291574</v>
      </c>
      <c r="AT25" s="9">
        <f>IF(X26="","",ABS(IF(Z25=0,AA25*60*COS(RADIANS(X26)),(Z25/COS(RADIANS(AP25)))*60)))</f>
        <v>994.09349605544901</v>
      </c>
      <c r="AU25" s="84">
        <f>IF(X26="","",IF(Z25=0,ABS(AA25*60*COS(((ATAN(TAN(RADIANS(X26))*(1-0.08181919034^2)^0.5))))*1.001795274),IF(AA25=0,ABS(((60.006994*Z25)-8.660102*(SIN(RADIANS((2*X26)))-SIN(RADIANS((2*X25)))))),ABS((((60.006994*Z25)-8.660102*(SIN(RADIANS((2*X26)))-SIN(RADIANS((2*X25))))))/COS(RADIANS(AP25))))))</f>
        <v>994.93408040786153</v>
      </c>
      <c r="AV25" s="106">
        <f t="shared" ref="AV25:AV56" si="2">IF($E$11=1,HLOOKUP($C$11,$AQ$24:$AU$75,P25+1),HLOOKUP($C$11,$AJ$24:$AN$75,P25+1))</f>
        <v>993.88681620200168</v>
      </c>
      <c r="AW25" s="112">
        <f>IF(X25="","",TRUNC(X25)*100+(X25-TRUNC(X25))*60)</f>
        <v>4620</v>
      </c>
      <c r="AX25" s="107">
        <f>IF(Y25="","",TRUNC(Y25)*100+(Y25-TRUNC(Y25))*60)</f>
        <v>14030.000000000002</v>
      </c>
      <c r="AY25" s="108">
        <f>IF(AP25="","",AP25)</f>
        <v>70</v>
      </c>
      <c r="AZ25" s="56">
        <f>IF(AV25="","",ROUND(AV25,2))</f>
        <v>993.89</v>
      </c>
      <c r="BA25" s="92">
        <f>IF(SUM(AZ25:AZ75)=0,"",SUM(AZ25:AZ75))</f>
        <v>4142.21</v>
      </c>
      <c r="BB25" s="79"/>
      <c r="BC25" s="61">
        <v>0</v>
      </c>
      <c r="BD25" s="56">
        <v>0</v>
      </c>
      <c r="BE25" s="32">
        <v>0</v>
      </c>
      <c r="BH25" s="32">
        <v>0</v>
      </c>
      <c r="BI25">
        <f>IF(X25="",BI24,X25*(1/COS(RADIANS(X25))))</f>
        <v>67.10485762665877</v>
      </c>
    </row>
    <row r="26" spans="1:61">
      <c r="A26" s="42">
        <v>2</v>
      </c>
      <c r="B26" s="33">
        <f>IF($C$14=$I$15,IF($E$14&gt;0,IF($I$15+$I$14&gt;180,$I$15+$I$14-360,IF($I$15+$I$14&lt;-180,$I$15+$I$14+360,$I$15+$I$14)),IF($I$15-$I$14&gt;180,$I$15-$I$14-360,IF($I$15-$I$14&lt;-180,$I$15-$I$14+360,$I$15-I14))),$I$15)</f>
        <v>145</v>
      </c>
      <c r="C26" s="77">
        <f t="shared" ref="C26:C57" si="3">IF(OR(C25="",C25=$C$15),"",IF(B26=$I$16,$I$16,IF(C25=$I$16,$C$15,B26)))</f>
        <v>145</v>
      </c>
      <c r="D26" s="33">
        <f t="shared" ref="D26:D57" si="4">IF(OR(D25="",D25=$C$15),"",IF(D25=$W$16,$T$16,IF(D25=$T$16,$T$17,IF(D25=$T$17,$W$17,VLOOKUP(MATCH(D25,$C$25:$C$75,0)+1,$A$25:$C$75,3)))))</f>
        <v>-172.55985391125162</v>
      </c>
      <c r="E26" s="84">
        <f>AB17</f>
        <v>173.87022452735835</v>
      </c>
      <c r="F26" s="42">
        <v>2</v>
      </c>
      <c r="G26" s="9">
        <f t="shared" ref="G26:G57" si="5">IF($E$14&gt;0,IF(G25+$G$24&gt;180,G25+$G$24-360,IF(G25+$G$24&lt;-180,G25+$G$24+360,G25+$G$24)),IF(G25-$G$24&gt;180,G25-$G$24-360,IF(G25-$G$24&lt;-180,G25-$G$24+360,G25-$G$24)))</f>
        <v>164.25000000000003</v>
      </c>
      <c r="H26" s="9">
        <f>IF(OR(H25="",F26=$I$14+1),"",G26)</f>
        <v>164.25000000000003</v>
      </c>
      <c r="I26" s="72">
        <f>IF(H26="","",TRUNC(H26)*100+(H26-TRUNC(H26))*60)</f>
        <v>16415</v>
      </c>
      <c r="J26" s="84">
        <f t="shared" ref="J26:J57" si="6">IF(I26="","",IF($G$12="X",H26,(TRUNC(I26/100)+(ROUND(((I26/100-TRUNC(I26/100))*100)/$G$12,)*$G$12)/60)))</f>
        <v>164.25000000000003</v>
      </c>
      <c r="K26" s="81">
        <v>2</v>
      </c>
      <c r="L26" s="9">
        <f>IF($A$11=1,C26,IF($A$11=3,D26,IF($A$11=4,E26,J26)))</f>
        <v>164.25000000000003</v>
      </c>
      <c r="M26" s="9">
        <f>IF(OR($A$11=1,$A$11=2),$C$18-L26,IF($A$11=4,"",IF(OR(L26=$T$16,L26=$T$17),0,IF(OR(M25=0,M25=$T$17-L25),$T$17-L26,$T$16-L26))))</f>
        <v>13.426519225932424</v>
      </c>
      <c r="N26" s="32">
        <f>IF($A$11=4,Y16,IF(M26="","",IF(M27="",$B$15,DEGREES(ATAN(COS(RADIANS(M26))*TAN(RADIANS($B$18)))))))</f>
        <v>51.978098328238524</v>
      </c>
      <c r="O26" s="32">
        <f>IF(N26="","",TRUNC(N26)*100+(N26-TRUNC(N26))*60)</f>
        <v>5158.685899694311</v>
      </c>
      <c r="P26">
        <v>2</v>
      </c>
      <c r="Q26" s="9">
        <f>IF(O26="","",IF(OR($B$11="X",A11=4),N26,TRUNC(O26/100)+(ROUND(((O26/100-TRUNC(O26/100))*100)/$B$11,)*$B$11)/60))</f>
        <v>52</v>
      </c>
      <c r="R26" s="200">
        <f t="shared" ref="R26:R75" si="7">IF(Q26="","",TRUNC(Q26)*100+(Q26-TRUNC(Q26))*60)</f>
        <v>5200</v>
      </c>
      <c r="S26" s="56">
        <f t="shared" ref="S26:S37" si="8">IF(R26="","",TRUNC(R26/100)+(R26/100-TRUNC(R26/100))/0.6)</f>
        <v>52</v>
      </c>
      <c r="T26" s="87" t="e">
        <f>IF(OR(T25="",T25=$T$21),"",IF(T25=$T$19,$T$20,IF(T25&gt;=$T$20,T25+1,MATCH(S25,$S$25:$S$75,0)+1)))</f>
        <v>#N/A</v>
      </c>
      <c r="U26" s="33" t="e">
        <f t="shared" ref="U26:U35" si="9">IF(U25="","",IF(U25=$T$21,"",IF(T26=$T$22,$T$21,T26)))</f>
        <v>#N/A</v>
      </c>
      <c r="V26" s="89" t="e">
        <f>IF(U26="","",VLOOKUP(U26,$P$25:$S$75,4))</f>
        <v>#N/A</v>
      </c>
      <c r="W26" s="84" t="e">
        <f>IF(U26="","",VLOOKUP(U26,$K$25:$L$75,2))</f>
        <v>#N/A</v>
      </c>
      <c r="X26" s="91">
        <f t="shared" ref="X26:X57" si="10">IF(OR(AND($A$11=4,$AB$18=2),AND($A$11=3,$T$23=2)),"",IF($A$11=3,V26,S26))</f>
        <v>52</v>
      </c>
      <c r="Y26" s="56">
        <f t="shared" ref="Y26:Y57" si="11">IF(OR(AND($A$11=4,$AB$18=2),AND($A$11=3,$T$23=2)),"",IF($A$11=3,W26,L26))</f>
        <v>164.25000000000003</v>
      </c>
      <c r="Z26" s="9">
        <f t="shared" ref="Z26:Z74" si="12">IF(X27="","",IF(X27-X26&gt;180,X27-X26-360,IF(X27-X26&lt;-180,X27-X26+360,X27-X26)))</f>
        <v>0.3333333333333357</v>
      </c>
      <c r="AA26" s="43">
        <f t="shared" ref="AA26:AA74" si="13">IF(Y27="","",IF(ABS(Y27-Y26)&lt;=180,Y27-Y26,(360-ABS(Y27-Y26))*-SIGN(Y27-Y26)))</f>
        <v>23.75</v>
      </c>
      <c r="AB26" s="98">
        <f>IF(X27="","",7915.70447*LOG(TAN(RADIANS((45+X27/2)))/TAN(RADIANS((45+X26/2)))))</f>
        <v>32.607123253072317</v>
      </c>
      <c r="AC26" s="9">
        <f t="shared" ref="AC26:AC56" si="14">IF(X27="","",7915.70446789782*LOG((TAN(RADIANS(45+X27/2))*(((1-0.0818191908426215*SIN(RADIANS(X27)))/(1+0.0818191908426215*SIN(RADIANS(X27))))^(0.0818191908426215/2)))/(TAN(RADIANS(45+X26/2))*(((1-0.0818191908426215*SIN(RADIANS(X26)))/(1+0.0818191908426215*SIN(RADIANS(X26))))^(0.0818191908426215/2)))))</f>
        <v>32.524656809082934</v>
      </c>
      <c r="AD26" s="84">
        <f t="shared" ref="AD26:AD56" si="15">IF(X27="","",DEGREES(ATAN2(3437.74677078*(LN((TAN(RADIANS(45+X27/2)))/(TAN(RADIANS(45+X26/2)))))-((SIN(RADIANS(X27))-SIN(RADIANS(X26)))*23.0135831934767)-((SIN(RADIANS(X27))^3)-(SIN(RADIANS(X26))^3))*(0.051353890277194)-((SIN(RADIANS(X27))^5)-(SIN(RADIANS(X26))^5))*(0.000206269473292),AA26*60)))</f>
        <v>88.692489778419912</v>
      </c>
      <c r="AE26" s="97">
        <f t="shared" ref="AE26:AE56" si="16">IF(X27="","",IF(AA26&lt;0,360+DEGREES(ATAN2(Z26,AA26*COS(RADIANS((X27+X26)/2)))),DEGREES(ATAN2(Z26,AA26*COS(RADIANS((X27+X26)/2))))))</f>
        <v>88.689183710936746</v>
      </c>
      <c r="AF26" s="19">
        <f t="shared" ref="AF26:AF56" si="17">IF(X27="","",IF(AA26&lt;0,360+DEGREES(ATAN2(AB26,AA26*60)),DEGREES(ATAN2(AB26,AA26*60))))</f>
        <v>88.689175734618843</v>
      </c>
      <c r="AG26" s="19">
        <f t="shared" ref="AG26:AG74" si="18">AF26</f>
        <v>88.689175734618843</v>
      </c>
      <c r="AH26" s="19">
        <f t="shared" ref="AH26:AH56" si="19">IF(X27="","",IF(AA26&lt;0,360+DEGREES(ATAN2(AC26,(AA26*60))),DEGREES(ATAN2(AC26,(AA26*60)))))</f>
        <v>88.692489778659393</v>
      </c>
      <c r="AI26" s="103">
        <f t="shared" ref="AI26:AI56" si="20">IF(AA26&lt;0,360+AD26,AD26)</f>
        <v>88.692489778419912</v>
      </c>
      <c r="AJ26" s="98">
        <f t="shared" ref="AJ26:AJ56" si="21">IF(X27="","",IF(Z26=0,(AA26*COS(RADIANS((X27+X26)/2)))*60/SIN(RADIANS(AE26)),Z26*60/COS(RADIANS(AE26))))</f>
        <v>874.27625750520679</v>
      </c>
      <c r="AK26" s="9">
        <f t="shared" ref="AK26:AK56" si="22">IF(X27="","",ABS(IF(Z26=0,(AA26)*60*COS(RADIANS(X26)),IF(AA26=0,(Z26*60),(Z26/COS(RADIANS(AF26)))*60))))</f>
        <v>874.27093849422704</v>
      </c>
      <c r="AL26" s="9">
        <f t="shared" ref="AL26:AL74" si="23">IF(AK26="","",AK26*1.00179527351758)</f>
        <v>875.84049395729551</v>
      </c>
      <c r="AM26" s="9">
        <f t="shared" ref="AM26:AM56" si="24">IF(X27="","",ABS(IF(Z26=0,AA26*60*COS(RADIANS(X27)),(Z26/COS(RADIANS(AH26)))*60)))</f>
        <v>876.48649861858314</v>
      </c>
      <c r="AN26" s="92">
        <f t="shared" ref="AN26:AN56" si="25">IF(X27="","",IF(Z26=0,ABS(AA26*60*COS(((ATAN(TAN(RADIANS(X27))*(1-0.08181919034^2)^0.5))))*1.001795274),IF(AA26=0,ABS(((60.006994*Z26)-8.660102*(SIN(RADIANS((2*X27)))-SIN(RADIANS((2*X26)))))),ABS((((60.006994*Z26)-8.660102*(SIN(RADIANS((2*X27)))-SIN(RADIANS((2*X26))))))/COS(RADIANS(AI26))))))</f>
        <v>877.68188651176035</v>
      </c>
      <c r="AO26" s="98">
        <f t="shared" si="0"/>
        <v>88.692489778419912</v>
      </c>
      <c r="AP26" s="103">
        <f t="shared" si="1"/>
        <v>88.7</v>
      </c>
      <c r="AQ26" s="98">
        <f t="shared" ref="AQ26:AQ74" si="26">IF(X27="","",IF(Z26=0,(AA26*COS(RADIANS((X27+X26)/2)))*60/SIN(RADIANS(AP26)),Z26*60/COS(RADIANS(AP26))))</f>
        <v>881.54916644742809</v>
      </c>
      <c r="AR26" s="9">
        <f t="shared" ref="AR26:AR74" si="27">IF(X27="","",ABS(IF(Z26=0,(AA26)*60*COS(RADIANS(X26)),IF(AA26=0,(Z26*60),(Z26/COS(RADIANS(AP26)))*60))))</f>
        <v>881.54916644742809</v>
      </c>
      <c r="AS26" s="9">
        <f t="shared" ref="AS26:AS74" si="28">IF(AR26="","",AR26*1.00179527351758)</f>
        <v>883.1317883203958</v>
      </c>
      <c r="AT26" s="9">
        <f t="shared" ref="AT26:AT74" si="29">IF(X27="","",ABS(IF(Z26=0,AA26*60*COS(RADIANS(X27)),(Z26/COS(RADIANS(AP26)))*60)))</f>
        <v>881.54916644742809</v>
      </c>
      <c r="AU26" s="84">
        <f t="shared" ref="AU26:AU74" si="30">IF(X27="","",IF(Z26=0,ABS(AA26*60*COS(((ATAN(TAN(RADIANS(X27))*(1-0.08181919034^2)^0.5))))*1.001795274),IF(AA26=0,ABS(((60.006994*Z26)-8.660102*(SIN(RADIANS((2*X27)))-SIN(RADIANS((2*X26)))))),ABS((((60.006994*Z26)-8.660102*(SIN(RADIANS((2*X27)))-SIN(RADIANS((2*X26))))))/COS(RADIANS(AP26))))))</f>
        <v>882.7514591743037</v>
      </c>
      <c r="AV26" s="106">
        <f t="shared" si="2"/>
        <v>877.68188651176035</v>
      </c>
      <c r="AW26" s="112">
        <f t="shared" ref="AW26:AW75" si="31">IF(X26="","",TRUNC(X26)*100+(X26-TRUNC(X26))*60)</f>
        <v>5200</v>
      </c>
      <c r="AX26" s="107">
        <f t="shared" ref="AX26:AX75" si="32">IF(Y26="","",TRUNC(Y26)*100+(Y26-TRUNC(Y26))*60)</f>
        <v>16415</v>
      </c>
      <c r="AY26" s="108">
        <f t="shared" ref="AY26:AY74" si="33">IF(AP26="","",AP26)</f>
        <v>88.7</v>
      </c>
      <c r="AZ26" s="56">
        <f t="shared" ref="AZ26:AZ74" si="34">IF(AV26="","",ROUND(AV26,2))</f>
        <v>877.68</v>
      </c>
      <c r="BA26" s="51">
        <f>IF(AW27="","",BA25-AZ25)</f>
        <v>3148.32</v>
      </c>
      <c r="BB26" s="55"/>
      <c r="BC26" s="61">
        <f>IF(AA25="","",BC25+1)</f>
        <v>1</v>
      </c>
      <c r="BD26" s="56">
        <f>IF(AA25="",BD25,BD25+AA25)</f>
        <v>23.75</v>
      </c>
      <c r="BE26" s="32">
        <f>IF(Z25="",BE25,Z25+BE25)</f>
        <v>5.6666666666666643</v>
      </c>
      <c r="BH26" s="32">
        <f>IF(AA25="",BH25,BH25+AA25)</f>
        <v>23.75</v>
      </c>
      <c r="BI26">
        <f>IF(X26="",BI25,X26*(1/COS(RADIANS(X26))))</f>
        <v>84.462000765102687</v>
      </c>
    </row>
    <row r="27" spans="1:61">
      <c r="A27" s="42">
        <v>3</v>
      </c>
      <c r="B27" s="33">
        <f t="shared" ref="B27:B58" si="35">IF($E$14&gt;0,IF(B26+$I$14&gt;180,B26+$I$14-360,IF(B26+$I$14&lt;-180,B26+$I$14+360,B26+$I$14)),IF(B26-$I$14&gt;180,B26-$I$14-360,IF(B26-$I$14&lt;-180,B26-$I$14+360,B26-$I$14)))</f>
        <v>150</v>
      </c>
      <c r="C27" s="77">
        <f t="shared" si="3"/>
        <v>150</v>
      </c>
      <c r="D27" s="33">
        <f t="shared" si="4"/>
        <v>-170</v>
      </c>
      <c r="E27" s="84">
        <f>C15</f>
        <v>-124.5</v>
      </c>
      <c r="F27" s="42">
        <v>3</v>
      </c>
      <c r="G27" s="9">
        <f t="shared" si="5"/>
        <v>-171.99999999999997</v>
      </c>
      <c r="H27" s="9">
        <f t="shared" ref="H27:H75" si="36">IF(OR(H26="",F27=$I$14+1),"",G27)</f>
        <v>-171.99999999999997</v>
      </c>
      <c r="I27" s="72">
        <f t="shared" ref="I27:I47" si="37">IF(H27="","",TRUNC(H27)*100+(H27-TRUNC(H27))*60)</f>
        <v>-17200</v>
      </c>
      <c r="J27" s="84">
        <f t="shared" si="6"/>
        <v>-171.99999999999997</v>
      </c>
      <c r="K27" s="81">
        <v>3</v>
      </c>
      <c r="L27" s="9">
        <f>IF($A$11=1,C27,IF($A$11=3,D27,IF($A$11=4,E27,J27)))</f>
        <v>-171.99999999999997</v>
      </c>
      <c r="M27" s="9">
        <f>IF(OR($A$11=1,$A$11=2),$C$18-L27,IF($A$11=4,"",IF(OR(L27=$T$16,L27=$T$17),0,IF(OR(M26=0,M26=$T$17-L26),$T$17-L27,$T$16-L27))))</f>
        <v>349.67651922593245</v>
      </c>
      <c r="N27" s="32">
        <f>IF($A$11=4,B15,IF(M27="","",IF(M28="",$B$15,DEGREES(ATAN(COS(RADIANS(M27))*TAN(RADIANS($B$18)))))))</f>
        <v>52.29435675010194</v>
      </c>
      <c r="O27" s="32">
        <f t="shared" ref="O27:O75" si="38">IF(N27="","",TRUNC(N27)*100+(N27-TRUNC(N27))*60)</f>
        <v>5217.6614050061162</v>
      </c>
      <c r="P27">
        <v>3</v>
      </c>
      <c r="Q27" s="9">
        <f>IF(O27="","",IF(OR($B$11="X",A11=4),N27,TRUNC(O27/100)+(ROUND(((O27/100-TRUNC(O27/100))*100)/$B$11,)*$B$11)/60))</f>
        <v>52.333333333333336</v>
      </c>
      <c r="R27" s="200">
        <f t="shared" si="7"/>
        <v>5220</v>
      </c>
      <c r="S27" s="56">
        <f t="shared" si="8"/>
        <v>52.333333333333336</v>
      </c>
      <c r="T27" s="87" t="e">
        <f t="shared" ref="T27:T75" si="39">IF(OR(T26="",T26=$T$21),"",IF(T26=$T$19,$T$20,IF(T26&gt;=$T$20,T26+1,MATCH(S26,$S$25:$S$75,0)+1)))</f>
        <v>#N/A</v>
      </c>
      <c r="U27" s="33" t="e">
        <f t="shared" si="9"/>
        <v>#N/A</v>
      </c>
      <c r="V27" s="89" t="e">
        <f t="shared" ref="V27:V75" si="40">IF(U27="","",VLOOKUP(U27,$P$25:$S$75,4))</f>
        <v>#N/A</v>
      </c>
      <c r="W27" s="84" t="e">
        <f t="shared" ref="W27:W57" si="41">IF(U27="","",VLOOKUP(U27,$K$25:$L$75,2))</f>
        <v>#N/A</v>
      </c>
      <c r="X27" s="91">
        <f t="shared" si="10"/>
        <v>52.333333333333336</v>
      </c>
      <c r="Y27" s="56">
        <f t="shared" si="11"/>
        <v>-171.99999999999997</v>
      </c>
      <c r="Z27" s="9">
        <f t="shared" si="12"/>
        <v>-4.9166666666666714</v>
      </c>
      <c r="AA27" s="43">
        <f t="shared" si="13"/>
        <v>23.75</v>
      </c>
      <c r="AB27" s="98">
        <f t="shared" ref="AB27:AB56" si="42">IF(X28="","",7915.70447*LOG(TAN(RADIANS((45+X28/2)))/TAN(RADIANS((45+X27/2)))))</f>
        <v>-458.2865380835018</v>
      </c>
      <c r="AC27" s="9">
        <f t="shared" si="14"/>
        <v>-457.00923453104059</v>
      </c>
      <c r="AD27" s="84">
        <f t="shared" si="15"/>
        <v>107.78147362018036</v>
      </c>
      <c r="AE27" s="97">
        <f t="shared" si="16"/>
        <v>107.80845682938542</v>
      </c>
      <c r="AF27" s="19">
        <f t="shared" si="17"/>
        <v>107.82802908275549</v>
      </c>
      <c r="AG27" s="19">
        <f t="shared" si="18"/>
        <v>107.82802908275549</v>
      </c>
      <c r="AH27" s="19">
        <f t="shared" si="19"/>
        <v>107.78147361740915</v>
      </c>
      <c r="AI27" s="103">
        <f t="shared" si="20"/>
        <v>107.78147362018036</v>
      </c>
      <c r="AJ27" s="98">
        <f t="shared" si="21"/>
        <v>964.56976516646444</v>
      </c>
      <c r="AK27" s="9">
        <f t="shared" si="22"/>
        <v>963.54516728798717</v>
      </c>
      <c r="AL27" s="9">
        <f t="shared" si="23"/>
        <v>965.27499440981137</v>
      </c>
      <c r="AM27" s="9">
        <f t="shared" si="24"/>
        <v>965.98608628740817</v>
      </c>
      <c r="AN27" s="92">
        <f t="shared" si="25"/>
        <v>966.92187924697112</v>
      </c>
      <c r="AO27" s="98">
        <f t="shared" si="0"/>
        <v>107.78147362018036</v>
      </c>
      <c r="AP27" s="103">
        <f t="shared" si="1"/>
        <v>107.8</v>
      </c>
      <c r="AQ27" s="98">
        <f t="shared" si="26"/>
        <v>965.01318538602959</v>
      </c>
      <c r="AR27" s="9">
        <f t="shared" si="27"/>
        <v>965.0131853860297</v>
      </c>
      <c r="AS27" s="9">
        <f t="shared" si="28"/>
        <v>966.74564800186863</v>
      </c>
      <c r="AT27" s="9">
        <f t="shared" si="29"/>
        <v>965.0131853860297</v>
      </c>
      <c r="AU27" s="84">
        <f t="shared" si="30"/>
        <v>965.94803599962631</v>
      </c>
      <c r="AV27" s="106">
        <f t="shared" si="2"/>
        <v>966.92187924697112</v>
      </c>
      <c r="AW27" s="112">
        <f t="shared" si="31"/>
        <v>5220</v>
      </c>
      <c r="AX27" s="107">
        <f t="shared" si="32"/>
        <v>-17200</v>
      </c>
      <c r="AY27" s="108">
        <f t="shared" si="33"/>
        <v>107.8</v>
      </c>
      <c r="AZ27" s="56">
        <f t="shared" si="34"/>
        <v>966.92</v>
      </c>
      <c r="BA27" s="51">
        <f t="shared" ref="BA27:BA74" si="43">IF(AW28="","",BA26-AZ26)</f>
        <v>2270.6400000000003</v>
      </c>
      <c r="BB27" s="55"/>
      <c r="BC27" s="61">
        <f t="shared" ref="BC27:BC75" si="44">IF(AA26="","",BC26+1)</f>
        <v>2</v>
      </c>
      <c r="BD27" s="56">
        <f t="shared" ref="BD27:BD42" si="45">IF(AA26="",BD26,BD26+AA26)</f>
        <v>47.5</v>
      </c>
      <c r="BE27" s="32">
        <f t="shared" ref="BE27:BE40" si="46">IF(Z26="",BE26,Z26+BE26)</f>
        <v>6</v>
      </c>
      <c r="BH27" s="32">
        <f t="shared" ref="BH27:BH75" si="47">IF(AA26="",BH26,BH26+AA26)</f>
        <v>47.5</v>
      </c>
      <c r="BI27">
        <f t="shared" ref="BI27:BI75" si="48">IF(X27="",BI26,X27*(1/COS(RADIANS(X27))))</f>
        <v>85.642598514601303</v>
      </c>
    </row>
    <row r="28" spans="1:61">
      <c r="A28" s="42">
        <v>4</v>
      </c>
      <c r="B28" s="33">
        <f t="shared" si="35"/>
        <v>155</v>
      </c>
      <c r="C28" s="77">
        <f t="shared" si="3"/>
        <v>155</v>
      </c>
      <c r="D28" s="33">
        <f t="shared" si="4"/>
        <v>-165</v>
      </c>
      <c r="E28" s="43"/>
      <c r="F28" s="42">
        <v>4</v>
      </c>
      <c r="G28" s="9">
        <f t="shared" si="5"/>
        <v>-148.24999999999997</v>
      </c>
      <c r="H28" s="9">
        <f t="shared" si="36"/>
        <v>-148.24999999999997</v>
      </c>
      <c r="I28" s="72">
        <f t="shared" si="37"/>
        <v>-14814.999999999998</v>
      </c>
      <c r="J28" s="84">
        <f t="shared" si="6"/>
        <v>-148.24999999999997</v>
      </c>
      <c r="K28" s="81">
        <v>4</v>
      </c>
      <c r="L28" s="9">
        <f t="shared" ref="L28:L75" si="49">IF($A$11=1,C28,IF($A$11=3,D28,IF($A$11=4,"",J28)))</f>
        <v>-148.24999999999997</v>
      </c>
      <c r="M28" s="9">
        <f>IF((L28=""),"",IF(OR($A$11=1,$A$11=2),$C$18-L28,IF(OR(L28=$T$16,L28=$T$17),0,IF(OR(M27=0,M27=$T$17-L27),$T$17-L28,$T$16-L28))))</f>
        <v>325.92651922593245</v>
      </c>
      <c r="N28" s="32">
        <f t="shared" ref="N28:N75" si="50">IF($A$11=4,"",IF(M28="","",IF(M29="",$B$15,DEGREES(ATAN(COS(RADIANS(M28))*TAN(RADIANS($B$18)))))))</f>
        <v>47.443062839781589</v>
      </c>
      <c r="O28" s="32">
        <f t="shared" si="38"/>
        <v>4726.5837703868956</v>
      </c>
      <c r="P28">
        <v>4</v>
      </c>
      <c r="Q28" s="9">
        <f t="shared" ref="Q28:Q75" si="51">IF(O28="","",IF($B$11="X",N28,IF(O29="",$B$15,TRUNC(O28/100)+(ROUND(((O28/100-TRUNC(O28/100))*100)/$B$11,)*$B$11)/60)))</f>
        <v>47.416666666666664</v>
      </c>
      <c r="R28" s="200">
        <f t="shared" si="7"/>
        <v>4725</v>
      </c>
      <c r="S28" s="56">
        <f t="shared" si="8"/>
        <v>47.416666666666664</v>
      </c>
      <c r="T28" s="87" t="e">
        <f t="shared" si="39"/>
        <v>#N/A</v>
      </c>
      <c r="U28" s="33" t="e">
        <f t="shared" si="9"/>
        <v>#N/A</v>
      </c>
      <c r="V28" s="89" t="e">
        <f t="shared" si="40"/>
        <v>#N/A</v>
      </c>
      <c r="W28" s="84" t="e">
        <f t="shared" si="41"/>
        <v>#N/A</v>
      </c>
      <c r="X28" s="91">
        <f t="shared" si="10"/>
        <v>47.416666666666664</v>
      </c>
      <c r="Y28" s="56">
        <f t="shared" si="11"/>
        <v>-148.24999999999997</v>
      </c>
      <c r="Z28" s="9">
        <f t="shared" si="12"/>
        <v>-12.416666666666664</v>
      </c>
      <c r="AA28" s="43">
        <f t="shared" si="13"/>
        <v>23.75</v>
      </c>
      <c r="AB28" s="98">
        <f t="shared" si="42"/>
        <v>-995.22771953408449</v>
      </c>
      <c r="AC28" s="9">
        <f t="shared" si="14"/>
        <v>-991.47216606684208</v>
      </c>
      <c r="AD28" s="84">
        <f t="shared" si="15"/>
        <v>124.82903599217241</v>
      </c>
      <c r="AE28" s="97">
        <f t="shared" si="16"/>
        <v>124.79648849524308</v>
      </c>
      <c r="AF28" s="19">
        <f t="shared" si="17"/>
        <v>124.93065689464486</v>
      </c>
      <c r="AG28" s="19">
        <f t="shared" si="18"/>
        <v>124.93065689464486</v>
      </c>
      <c r="AH28" s="19">
        <f t="shared" si="19"/>
        <v>124.82903598961389</v>
      </c>
      <c r="AI28" s="103">
        <f t="shared" si="20"/>
        <v>124.82903599217241</v>
      </c>
      <c r="AJ28" s="98">
        <f t="shared" si="21"/>
        <v>1305.498491973563</v>
      </c>
      <c r="AK28" s="9">
        <f t="shared" si="22"/>
        <v>1301.1177167378455</v>
      </c>
      <c r="AL28" s="9">
        <f t="shared" si="23"/>
        <v>1303.453578917959</v>
      </c>
      <c r="AM28" s="9">
        <f t="shared" si="24"/>
        <v>1304.4324079531166</v>
      </c>
      <c r="AN28" s="92">
        <f t="shared" si="25"/>
        <v>1303.7239336102366</v>
      </c>
      <c r="AO28" s="98">
        <f t="shared" si="0"/>
        <v>124.82903599217241</v>
      </c>
      <c r="AP28" s="103">
        <f t="shared" si="1"/>
        <v>124.8</v>
      </c>
      <c r="AQ28" s="98">
        <f t="shared" si="26"/>
        <v>1305.3833694942707</v>
      </c>
      <c r="AR28" s="9">
        <f t="shared" si="27"/>
        <v>1305.3833694942707</v>
      </c>
      <c r="AS28" s="9">
        <f t="shared" si="28"/>
        <v>1307.7268896878129</v>
      </c>
      <c r="AT28" s="9">
        <f t="shared" si="29"/>
        <v>1305.3833694942707</v>
      </c>
      <c r="AU28" s="84">
        <f t="shared" si="30"/>
        <v>1304.6743787408632</v>
      </c>
      <c r="AV28" s="106">
        <f t="shared" si="2"/>
        <v>1303.7239336102366</v>
      </c>
      <c r="AW28" s="112">
        <f t="shared" si="31"/>
        <v>4725</v>
      </c>
      <c r="AX28" s="107">
        <f t="shared" si="32"/>
        <v>-14814.999999999998</v>
      </c>
      <c r="AY28" s="108">
        <f t="shared" si="33"/>
        <v>124.8</v>
      </c>
      <c r="AZ28" s="56">
        <f t="shared" si="34"/>
        <v>1303.72</v>
      </c>
      <c r="BA28" s="51">
        <f t="shared" si="43"/>
        <v>1303.7200000000003</v>
      </c>
      <c r="BB28" s="55"/>
      <c r="BC28" s="61">
        <f t="shared" si="44"/>
        <v>3</v>
      </c>
      <c r="BD28" s="56">
        <f t="shared" si="45"/>
        <v>71.25</v>
      </c>
      <c r="BE28" s="32">
        <f t="shared" si="46"/>
        <v>1.0833333333333286</v>
      </c>
      <c r="BH28" s="32">
        <f t="shared" si="47"/>
        <v>71.25</v>
      </c>
      <c r="BI28">
        <f t="shared" si="48"/>
        <v>70.074393632494321</v>
      </c>
    </row>
    <row r="29" spans="1:61">
      <c r="A29" s="42">
        <v>5</v>
      </c>
      <c r="B29" s="33">
        <f t="shared" si="35"/>
        <v>160</v>
      </c>
      <c r="C29" s="77">
        <f t="shared" si="3"/>
        <v>160</v>
      </c>
      <c r="D29" s="33">
        <f t="shared" si="4"/>
        <v>-160</v>
      </c>
      <c r="E29" s="43"/>
      <c r="F29" s="42">
        <v>5</v>
      </c>
      <c r="G29" s="9">
        <f t="shared" si="5"/>
        <v>-124.49999999999997</v>
      </c>
      <c r="H29" s="9">
        <f t="shared" si="36"/>
        <v>-124.49999999999997</v>
      </c>
      <c r="I29" s="72">
        <f t="shared" si="37"/>
        <v>-12429.999999999998</v>
      </c>
      <c r="J29" s="84">
        <f t="shared" si="6"/>
        <v>-124.49999999999997</v>
      </c>
      <c r="K29" s="81">
        <v>5</v>
      </c>
      <c r="L29" s="9">
        <f t="shared" si="49"/>
        <v>-124.49999999999997</v>
      </c>
      <c r="M29" s="9">
        <f t="shared" ref="M29:M75" si="52">IF(L29="","",IF(OR($A$11=1,$A$11=2),$C$18-L29,IF(OR(L29=$T$16,L29=$T$17),0,IF(OR(M28=0,M28=$T$17-L28),$T$17-L29,$T$16-L29))))</f>
        <v>302.17651922593245</v>
      </c>
      <c r="N29" s="32">
        <f t="shared" si="50"/>
        <v>35</v>
      </c>
      <c r="O29" s="32">
        <f t="shared" si="38"/>
        <v>3500</v>
      </c>
      <c r="P29">
        <v>5</v>
      </c>
      <c r="Q29" s="9">
        <f t="shared" si="51"/>
        <v>35</v>
      </c>
      <c r="R29" s="200">
        <f t="shared" si="7"/>
        <v>3500</v>
      </c>
      <c r="S29" s="56">
        <f t="shared" si="8"/>
        <v>35</v>
      </c>
      <c r="T29" s="87" t="e">
        <f t="shared" si="39"/>
        <v>#N/A</v>
      </c>
      <c r="U29" s="33" t="e">
        <f t="shared" si="9"/>
        <v>#N/A</v>
      </c>
      <c r="V29" s="89" t="e">
        <f t="shared" si="40"/>
        <v>#N/A</v>
      </c>
      <c r="W29" s="84" t="e">
        <f t="shared" si="41"/>
        <v>#N/A</v>
      </c>
      <c r="X29" s="91">
        <f t="shared" si="10"/>
        <v>35</v>
      </c>
      <c r="Y29" s="56">
        <f t="shared" si="11"/>
        <v>-124.49999999999997</v>
      </c>
      <c r="Z29" s="9" t="str">
        <f t="shared" si="12"/>
        <v/>
      </c>
      <c r="AA29" s="43" t="str">
        <f t="shared" si="13"/>
        <v/>
      </c>
      <c r="AB29" s="98" t="str">
        <f t="shared" si="42"/>
        <v/>
      </c>
      <c r="AC29" s="9" t="str">
        <f t="shared" si="14"/>
        <v/>
      </c>
      <c r="AD29" s="84" t="str">
        <f t="shared" si="15"/>
        <v/>
      </c>
      <c r="AE29" s="97" t="str">
        <f t="shared" si="16"/>
        <v/>
      </c>
      <c r="AF29" s="19" t="str">
        <f t="shared" si="17"/>
        <v/>
      </c>
      <c r="AG29" s="19" t="str">
        <f t="shared" si="18"/>
        <v/>
      </c>
      <c r="AH29" s="19" t="str">
        <f t="shared" si="19"/>
        <v/>
      </c>
      <c r="AI29" s="103" t="str">
        <f t="shared" si="20"/>
        <v/>
      </c>
      <c r="AJ29" s="98" t="str">
        <f t="shared" si="21"/>
        <v/>
      </c>
      <c r="AK29" s="9" t="str">
        <f t="shared" si="22"/>
        <v/>
      </c>
      <c r="AL29" s="9" t="str">
        <f t="shared" si="23"/>
        <v/>
      </c>
      <c r="AM29" s="9" t="str">
        <f t="shared" si="24"/>
        <v/>
      </c>
      <c r="AN29" s="92" t="str">
        <f t="shared" si="25"/>
        <v/>
      </c>
      <c r="AO29" s="98" t="str">
        <f t="shared" si="0"/>
        <v/>
      </c>
      <c r="AP29" s="103" t="str">
        <f t="shared" si="1"/>
        <v/>
      </c>
      <c r="AQ29" s="98" t="str">
        <f t="shared" si="26"/>
        <v/>
      </c>
      <c r="AR29" s="9" t="str">
        <f t="shared" si="27"/>
        <v/>
      </c>
      <c r="AS29" s="9" t="str">
        <f t="shared" si="28"/>
        <v/>
      </c>
      <c r="AT29" s="9" t="str">
        <f t="shared" si="29"/>
        <v/>
      </c>
      <c r="AU29" s="84" t="str">
        <f t="shared" si="30"/>
        <v/>
      </c>
      <c r="AV29" s="106" t="str">
        <f t="shared" si="2"/>
        <v/>
      </c>
      <c r="AW29" s="112">
        <f t="shared" si="31"/>
        <v>3500</v>
      </c>
      <c r="AX29" s="107">
        <f t="shared" si="32"/>
        <v>-12429.999999999998</v>
      </c>
      <c r="AY29" s="108" t="str">
        <f t="shared" si="33"/>
        <v/>
      </c>
      <c r="AZ29" s="56" t="str">
        <f t="shared" si="34"/>
        <v/>
      </c>
      <c r="BA29" s="51" t="str">
        <f t="shared" si="43"/>
        <v/>
      </c>
      <c r="BB29" s="55"/>
      <c r="BC29" s="61">
        <f t="shared" si="44"/>
        <v>4</v>
      </c>
      <c r="BD29" s="56">
        <f t="shared" si="45"/>
        <v>95</v>
      </c>
      <c r="BE29" s="32">
        <f t="shared" si="46"/>
        <v>-11.333333333333336</v>
      </c>
      <c r="BH29" s="32">
        <f t="shared" si="47"/>
        <v>95</v>
      </c>
      <c r="BI29">
        <f t="shared" si="48"/>
        <v>42.72711060665096</v>
      </c>
    </row>
    <row r="30" spans="1:61">
      <c r="A30" s="42">
        <v>6</v>
      </c>
      <c r="B30" s="33">
        <f t="shared" si="35"/>
        <v>165</v>
      </c>
      <c r="C30" s="77">
        <f t="shared" si="3"/>
        <v>165</v>
      </c>
      <c r="D30" s="33">
        <f t="shared" si="4"/>
        <v>-155</v>
      </c>
      <c r="E30" s="43"/>
      <c r="F30" s="42">
        <v>6</v>
      </c>
      <c r="G30" s="9">
        <f t="shared" si="5"/>
        <v>-100.74999999999997</v>
      </c>
      <c r="H30" s="9" t="str">
        <f t="shared" si="36"/>
        <v/>
      </c>
      <c r="I30" s="72" t="str">
        <f t="shared" si="37"/>
        <v/>
      </c>
      <c r="J30" s="84" t="str">
        <f t="shared" si="6"/>
        <v/>
      </c>
      <c r="K30" s="81">
        <v>6</v>
      </c>
      <c r="L30" s="9" t="str">
        <f t="shared" si="49"/>
        <v/>
      </c>
      <c r="M30" s="9" t="str">
        <f t="shared" si="52"/>
        <v/>
      </c>
      <c r="N30" s="32" t="str">
        <f t="shared" si="50"/>
        <v/>
      </c>
      <c r="O30" s="32" t="str">
        <f t="shared" si="38"/>
        <v/>
      </c>
      <c r="P30">
        <v>6</v>
      </c>
      <c r="Q30" s="9" t="str">
        <f t="shared" si="51"/>
        <v/>
      </c>
      <c r="R30" s="200" t="str">
        <f t="shared" si="7"/>
        <v/>
      </c>
      <c r="S30" s="56" t="str">
        <f t="shared" si="8"/>
        <v/>
      </c>
      <c r="T30" s="87" t="e">
        <f t="shared" si="39"/>
        <v>#N/A</v>
      </c>
      <c r="U30" s="33" t="e">
        <f t="shared" si="9"/>
        <v>#N/A</v>
      </c>
      <c r="V30" s="89" t="e">
        <f t="shared" si="40"/>
        <v>#N/A</v>
      </c>
      <c r="W30" s="84" t="e">
        <f t="shared" si="41"/>
        <v>#N/A</v>
      </c>
      <c r="X30" s="91" t="str">
        <f t="shared" si="10"/>
        <v/>
      </c>
      <c r="Y30" s="56" t="str">
        <f t="shared" si="11"/>
        <v/>
      </c>
      <c r="Z30" s="9" t="str">
        <f t="shared" si="12"/>
        <v/>
      </c>
      <c r="AA30" s="43" t="str">
        <f t="shared" si="13"/>
        <v/>
      </c>
      <c r="AB30" s="98" t="str">
        <f t="shared" si="42"/>
        <v/>
      </c>
      <c r="AC30" s="9" t="str">
        <f t="shared" si="14"/>
        <v/>
      </c>
      <c r="AD30" s="84" t="str">
        <f t="shared" si="15"/>
        <v/>
      </c>
      <c r="AE30" s="97" t="str">
        <f t="shared" si="16"/>
        <v/>
      </c>
      <c r="AF30" s="19" t="str">
        <f t="shared" si="17"/>
        <v/>
      </c>
      <c r="AG30" s="19" t="str">
        <f t="shared" si="18"/>
        <v/>
      </c>
      <c r="AH30" s="19" t="str">
        <f t="shared" si="19"/>
        <v/>
      </c>
      <c r="AI30" s="103" t="str">
        <f t="shared" si="20"/>
        <v/>
      </c>
      <c r="AJ30" s="98" t="str">
        <f t="shared" si="21"/>
        <v/>
      </c>
      <c r="AK30" s="9" t="str">
        <f t="shared" si="22"/>
        <v/>
      </c>
      <c r="AL30" s="9" t="str">
        <f>IF(AK30="","",AK30*1.00179527351758)</f>
        <v/>
      </c>
      <c r="AM30" s="9" t="str">
        <f t="shared" si="24"/>
        <v/>
      </c>
      <c r="AN30" s="92" t="str">
        <f t="shared" si="25"/>
        <v/>
      </c>
      <c r="AO30" s="98" t="str">
        <f t="shared" si="0"/>
        <v/>
      </c>
      <c r="AP30" s="103" t="str">
        <f t="shared" si="1"/>
        <v/>
      </c>
      <c r="AQ30" s="98" t="str">
        <f t="shared" si="26"/>
        <v/>
      </c>
      <c r="AR30" s="9" t="str">
        <f t="shared" si="27"/>
        <v/>
      </c>
      <c r="AS30" s="9" t="str">
        <f t="shared" si="28"/>
        <v/>
      </c>
      <c r="AT30" s="9" t="str">
        <f t="shared" si="29"/>
        <v/>
      </c>
      <c r="AU30" s="84" t="str">
        <f t="shared" si="30"/>
        <v/>
      </c>
      <c r="AV30" s="106" t="str">
        <f t="shared" si="2"/>
        <v/>
      </c>
      <c r="AW30" s="112" t="str">
        <f t="shared" si="31"/>
        <v/>
      </c>
      <c r="AX30" s="107" t="str">
        <f t="shared" si="32"/>
        <v/>
      </c>
      <c r="AY30" s="108" t="str">
        <f t="shared" si="33"/>
        <v/>
      </c>
      <c r="AZ30" s="56" t="str">
        <f t="shared" si="34"/>
        <v/>
      </c>
      <c r="BA30" s="51" t="str">
        <f t="shared" si="43"/>
        <v/>
      </c>
      <c r="BB30" s="55"/>
      <c r="BC30" s="61" t="str">
        <f t="shared" si="44"/>
        <v/>
      </c>
      <c r="BD30" s="56">
        <f t="shared" si="45"/>
        <v>95</v>
      </c>
      <c r="BE30" s="32">
        <f t="shared" si="46"/>
        <v>-11.333333333333336</v>
      </c>
      <c r="BH30" s="32">
        <f t="shared" si="47"/>
        <v>95</v>
      </c>
      <c r="BI30">
        <f t="shared" si="48"/>
        <v>42.72711060665096</v>
      </c>
    </row>
    <row r="31" spans="1:61">
      <c r="A31" s="42">
        <v>7</v>
      </c>
      <c r="B31" s="33">
        <f t="shared" si="35"/>
        <v>170</v>
      </c>
      <c r="C31" s="77">
        <f t="shared" si="3"/>
        <v>170</v>
      </c>
      <c r="D31" s="33">
        <f t="shared" si="4"/>
        <v>-150</v>
      </c>
      <c r="E31" s="43"/>
      <c r="F31" s="42">
        <v>7</v>
      </c>
      <c r="G31" s="9">
        <f t="shared" si="5"/>
        <v>-76.999999999999972</v>
      </c>
      <c r="H31" s="9" t="str">
        <f t="shared" si="36"/>
        <v/>
      </c>
      <c r="I31" s="72" t="str">
        <f t="shared" si="37"/>
        <v/>
      </c>
      <c r="J31" s="84" t="str">
        <f t="shared" si="6"/>
        <v/>
      </c>
      <c r="K31" s="81">
        <v>7</v>
      </c>
      <c r="L31" s="9" t="str">
        <f t="shared" si="49"/>
        <v/>
      </c>
      <c r="M31" s="9" t="str">
        <f t="shared" si="52"/>
        <v/>
      </c>
      <c r="N31" s="32" t="str">
        <f t="shared" si="50"/>
        <v/>
      </c>
      <c r="O31" s="32" t="str">
        <f t="shared" si="38"/>
        <v/>
      </c>
      <c r="P31">
        <v>7</v>
      </c>
      <c r="Q31" s="9" t="str">
        <f t="shared" si="51"/>
        <v/>
      </c>
      <c r="R31" s="200" t="str">
        <f t="shared" si="7"/>
        <v/>
      </c>
      <c r="S31" s="56" t="str">
        <f t="shared" si="8"/>
        <v/>
      </c>
      <c r="T31" s="87" t="e">
        <f t="shared" si="39"/>
        <v>#N/A</v>
      </c>
      <c r="U31" s="33" t="e">
        <f t="shared" si="9"/>
        <v>#N/A</v>
      </c>
      <c r="V31" s="89" t="e">
        <f t="shared" si="40"/>
        <v>#N/A</v>
      </c>
      <c r="W31" s="84" t="e">
        <f t="shared" si="41"/>
        <v>#N/A</v>
      </c>
      <c r="X31" s="91" t="str">
        <f t="shared" si="10"/>
        <v/>
      </c>
      <c r="Y31" s="56" t="str">
        <f t="shared" si="11"/>
        <v/>
      </c>
      <c r="Z31" s="9" t="str">
        <f t="shared" si="12"/>
        <v/>
      </c>
      <c r="AA31" s="43" t="str">
        <f t="shared" si="13"/>
        <v/>
      </c>
      <c r="AB31" s="98" t="str">
        <f t="shared" si="42"/>
        <v/>
      </c>
      <c r="AC31" s="9" t="str">
        <f t="shared" si="14"/>
        <v/>
      </c>
      <c r="AD31" s="84" t="str">
        <f t="shared" si="15"/>
        <v/>
      </c>
      <c r="AE31" s="97" t="str">
        <f t="shared" si="16"/>
        <v/>
      </c>
      <c r="AF31" s="19" t="str">
        <f t="shared" si="17"/>
        <v/>
      </c>
      <c r="AG31" s="19" t="str">
        <f t="shared" si="18"/>
        <v/>
      </c>
      <c r="AH31" s="19" t="str">
        <f t="shared" si="19"/>
        <v/>
      </c>
      <c r="AI31" s="103" t="str">
        <f t="shared" si="20"/>
        <v/>
      </c>
      <c r="AJ31" s="98" t="str">
        <f t="shared" si="21"/>
        <v/>
      </c>
      <c r="AK31" s="9" t="str">
        <f t="shared" si="22"/>
        <v/>
      </c>
      <c r="AL31" s="9" t="str">
        <f t="shared" si="23"/>
        <v/>
      </c>
      <c r="AM31" s="9" t="str">
        <f t="shared" si="24"/>
        <v/>
      </c>
      <c r="AN31" s="92" t="str">
        <f t="shared" si="25"/>
        <v/>
      </c>
      <c r="AO31" s="98" t="str">
        <f t="shared" si="0"/>
        <v/>
      </c>
      <c r="AP31" s="103" t="str">
        <f t="shared" si="1"/>
        <v/>
      </c>
      <c r="AQ31" s="98" t="str">
        <f t="shared" si="26"/>
        <v/>
      </c>
      <c r="AR31" s="9" t="str">
        <f t="shared" si="27"/>
        <v/>
      </c>
      <c r="AS31" s="9" t="str">
        <f t="shared" si="28"/>
        <v/>
      </c>
      <c r="AT31" s="9" t="str">
        <f t="shared" si="29"/>
        <v/>
      </c>
      <c r="AU31" s="84" t="str">
        <f t="shared" si="30"/>
        <v/>
      </c>
      <c r="AV31" s="106" t="str">
        <f t="shared" si="2"/>
        <v/>
      </c>
      <c r="AW31" s="112" t="str">
        <f t="shared" si="31"/>
        <v/>
      </c>
      <c r="AX31" s="107" t="str">
        <f t="shared" si="32"/>
        <v/>
      </c>
      <c r="AY31" s="108" t="str">
        <f t="shared" si="33"/>
        <v/>
      </c>
      <c r="AZ31" s="56" t="str">
        <f t="shared" si="34"/>
        <v/>
      </c>
      <c r="BA31" s="51" t="str">
        <f t="shared" si="43"/>
        <v/>
      </c>
      <c r="BB31" s="55"/>
      <c r="BC31" s="61" t="str">
        <f t="shared" si="44"/>
        <v/>
      </c>
      <c r="BD31" s="56">
        <f t="shared" si="45"/>
        <v>95</v>
      </c>
      <c r="BE31" s="32">
        <f t="shared" si="46"/>
        <v>-11.333333333333336</v>
      </c>
      <c r="BH31" s="32">
        <f t="shared" si="47"/>
        <v>95</v>
      </c>
      <c r="BI31">
        <f t="shared" si="48"/>
        <v>42.72711060665096</v>
      </c>
    </row>
    <row r="32" spans="1:61">
      <c r="A32" s="42">
        <v>8</v>
      </c>
      <c r="B32" s="33">
        <f t="shared" si="35"/>
        <v>175</v>
      </c>
      <c r="C32" s="77">
        <f t="shared" si="3"/>
        <v>175</v>
      </c>
      <c r="D32" s="33">
        <f t="shared" si="4"/>
        <v>-145</v>
      </c>
      <c r="E32" s="43"/>
      <c r="F32" s="42">
        <v>8</v>
      </c>
      <c r="G32" s="9">
        <f t="shared" si="5"/>
        <v>-53.249999999999972</v>
      </c>
      <c r="H32" s="9" t="str">
        <f t="shared" si="36"/>
        <v/>
      </c>
      <c r="I32" s="72" t="str">
        <f t="shared" si="37"/>
        <v/>
      </c>
      <c r="J32" s="84" t="str">
        <f t="shared" si="6"/>
        <v/>
      </c>
      <c r="K32" s="81">
        <v>8</v>
      </c>
      <c r="L32" s="9" t="str">
        <f t="shared" si="49"/>
        <v/>
      </c>
      <c r="M32" s="9" t="str">
        <f t="shared" si="52"/>
        <v/>
      </c>
      <c r="N32" s="32" t="str">
        <f t="shared" si="50"/>
        <v/>
      </c>
      <c r="O32" s="32" t="str">
        <f>IF(N32="","",TRUNC(N32)*100+(N32-TRUNC(N32))*60)</f>
        <v/>
      </c>
      <c r="P32">
        <v>8</v>
      </c>
      <c r="Q32" s="9" t="str">
        <f t="shared" si="51"/>
        <v/>
      </c>
      <c r="R32" s="200" t="str">
        <f t="shared" si="7"/>
        <v/>
      </c>
      <c r="S32" s="56" t="str">
        <f t="shared" si="8"/>
        <v/>
      </c>
      <c r="T32" s="87" t="e">
        <f t="shared" si="39"/>
        <v>#N/A</v>
      </c>
      <c r="U32" s="33" t="e">
        <f t="shared" si="9"/>
        <v>#N/A</v>
      </c>
      <c r="V32" s="89" t="e">
        <f t="shared" si="40"/>
        <v>#N/A</v>
      </c>
      <c r="W32" s="84" t="e">
        <f t="shared" si="41"/>
        <v>#N/A</v>
      </c>
      <c r="X32" s="91" t="str">
        <f t="shared" si="10"/>
        <v/>
      </c>
      <c r="Y32" s="56" t="str">
        <f t="shared" si="11"/>
        <v/>
      </c>
      <c r="Z32" s="9" t="str">
        <f t="shared" si="12"/>
        <v/>
      </c>
      <c r="AA32" s="43" t="str">
        <f t="shared" si="13"/>
        <v/>
      </c>
      <c r="AB32" s="98" t="str">
        <f t="shared" si="42"/>
        <v/>
      </c>
      <c r="AC32" s="9" t="str">
        <f t="shared" si="14"/>
        <v/>
      </c>
      <c r="AD32" s="84" t="str">
        <f t="shared" si="15"/>
        <v/>
      </c>
      <c r="AE32" s="97" t="str">
        <f t="shared" si="16"/>
        <v/>
      </c>
      <c r="AF32" s="19" t="str">
        <f t="shared" si="17"/>
        <v/>
      </c>
      <c r="AG32" s="19" t="str">
        <f t="shared" si="18"/>
        <v/>
      </c>
      <c r="AH32" s="19" t="str">
        <f t="shared" si="19"/>
        <v/>
      </c>
      <c r="AI32" s="103" t="str">
        <f t="shared" si="20"/>
        <v/>
      </c>
      <c r="AJ32" s="98" t="str">
        <f t="shared" si="21"/>
        <v/>
      </c>
      <c r="AK32" s="9" t="str">
        <f t="shared" si="22"/>
        <v/>
      </c>
      <c r="AL32" s="9" t="str">
        <f t="shared" si="23"/>
        <v/>
      </c>
      <c r="AM32" s="9" t="str">
        <f t="shared" si="24"/>
        <v/>
      </c>
      <c r="AN32" s="92" t="str">
        <f t="shared" si="25"/>
        <v/>
      </c>
      <c r="AO32" s="98" t="str">
        <f t="shared" si="0"/>
        <v/>
      </c>
      <c r="AP32" s="103" t="str">
        <f t="shared" si="1"/>
        <v/>
      </c>
      <c r="AQ32" s="98" t="str">
        <f t="shared" si="26"/>
        <v/>
      </c>
      <c r="AR32" s="9" t="str">
        <f t="shared" si="27"/>
        <v/>
      </c>
      <c r="AS32" s="9" t="str">
        <f t="shared" si="28"/>
        <v/>
      </c>
      <c r="AT32" s="9" t="str">
        <f t="shared" si="29"/>
        <v/>
      </c>
      <c r="AU32" s="84" t="str">
        <f t="shared" si="30"/>
        <v/>
      </c>
      <c r="AV32" s="106" t="str">
        <f t="shared" si="2"/>
        <v/>
      </c>
      <c r="AW32" s="112" t="str">
        <f t="shared" si="31"/>
        <v/>
      </c>
      <c r="AX32" s="107" t="str">
        <f t="shared" si="32"/>
        <v/>
      </c>
      <c r="AY32" s="108" t="str">
        <f t="shared" si="33"/>
        <v/>
      </c>
      <c r="AZ32" s="56" t="str">
        <f t="shared" si="34"/>
        <v/>
      </c>
      <c r="BA32" s="51" t="str">
        <f t="shared" si="43"/>
        <v/>
      </c>
      <c r="BC32" s="61" t="str">
        <f t="shared" si="44"/>
        <v/>
      </c>
      <c r="BD32" s="56">
        <f t="shared" si="45"/>
        <v>95</v>
      </c>
      <c r="BE32" s="32">
        <f t="shared" si="46"/>
        <v>-11.333333333333336</v>
      </c>
      <c r="BH32" s="32">
        <f t="shared" si="47"/>
        <v>95</v>
      </c>
      <c r="BI32">
        <f t="shared" si="48"/>
        <v>42.72711060665096</v>
      </c>
    </row>
    <row r="33" spans="1:61">
      <c r="A33" s="42">
        <v>9</v>
      </c>
      <c r="B33" s="33">
        <f t="shared" si="35"/>
        <v>180</v>
      </c>
      <c r="C33" s="77">
        <f t="shared" si="3"/>
        <v>180</v>
      </c>
      <c r="D33" s="33">
        <f t="shared" si="4"/>
        <v>-140</v>
      </c>
      <c r="E33" s="43"/>
      <c r="F33" s="42">
        <v>9</v>
      </c>
      <c r="G33" s="9">
        <f t="shared" si="5"/>
        <v>-29.499999999999972</v>
      </c>
      <c r="H33" s="9" t="str">
        <f t="shared" si="36"/>
        <v/>
      </c>
      <c r="I33" s="72" t="str">
        <f t="shared" si="37"/>
        <v/>
      </c>
      <c r="J33" s="84" t="str">
        <f t="shared" si="6"/>
        <v/>
      </c>
      <c r="K33" s="81">
        <v>9</v>
      </c>
      <c r="L33" s="9" t="str">
        <f t="shared" si="49"/>
        <v/>
      </c>
      <c r="M33" s="9" t="str">
        <f t="shared" si="52"/>
        <v/>
      </c>
      <c r="N33" s="32" t="str">
        <f t="shared" si="50"/>
        <v/>
      </c>
      <c r="O33" s="32" t="str">
        <f>IF(N33="","",TRUNC(N33)*100+(N33-TRUNC(N33))*60)</f>
        <v/>
      </c>
      <c r="P33">
        <v>9</v>
      </c>
      <c r="Q33" s="9" t="str">
        <f t="shared" si="51"/>
        <v/>
      </c>
      <c r="R33" s="200" t="str">
        <f t="shared" si="7"/>
        <v/>
      </c>
      <c r="S33" s="56" t="str">
        <f t="shared" si="8"/>
        <v/>
      </c>
      <c r="T33" s="87" t="e">
        <f t="shared" si="39"/>
        <v>#N/A</v>
      </c>
      <c r="U33" s="33" t="e">
        <f t="shared" si="9"/>
        <v>#N/A</v>
      </c>
      <c r="V33" s="89" t="e">
        <f t="shared" si="40"/>
        <v>#N/A</v>
      </c>
      <c r="W33" s="84" t="e">
        <f t="shared" si="41"/>
        <v>#N/A</v>
      </c>
      <c r="X33" s="91" t="str">
        <f t="shared" si="10"/>
        <v/>
      </c>
      <c r="Y33" s="56" t="str">
        <f t="shared" si="11"/>
        <v/>
      </c>
      <c r="Z33" s="9" t="str">
        <f t="shared" si="12"/>
        <v/>
      </c>
      <c r="AA33" s="43" t="str">
        <f t="shared" si="13"/>
        <v/>
      </c>
      <c r="AB33" s="98" t="str">
        <f t="shared" si="42"/>
        <v/>
      </c>
      <c r="AC33" s="9" t="str">
        <f t="shared" si="14"/>
        <v/>
      </c>
      <c r="AD33" s="84" t="str">
        <f t="shared" si="15"/>
        <v/>
      </c>
      <c r="AE33" s="97" t="str">
        <f t="shared" si="16"/>
        <v/>
      </c>
      <c r="AF33" s="19" t="str">
        <f t="shared" si="17"/>
        <v/>
      </c>
      <c r="AG33" s="19" t="str">
        <f t="shared" si="18"/>
        <v/>
      </c>
      <c r="AH33" s="19" t="str">
        <f t="shared" si="19"/>
        <v/>
      </c>
      <c r="AI33" s="103" t="str">
        <f t="shared" si="20"/>
        <v/>
      </c>
      <c r="AJ33" s="98" t="str">
        <f t="shared" si="21"/>
        <v/>
      </c>
      <c r="AK33" s="9" t="str">
        <f t="shared" si="22"/>
        <v/>
      </c>
      <c r="AL33" s="9" t="str">
        <f t="shared" si="23"/>
        <v/>
      </c>
      <c r="AM33" s="9" t="str">
        <f t="shared" si="24"/>
        <v/>
      </c>
      <c r="AN33" s="92" t="str">
        <f t="shared" si="25"/>
        <v/>
      </c>
      <c r="AO33" s="98" t="str">
        <f t="shared" si="0"/>
        <v/>
      </c>
      <c r="AP33" s="103" t="str">
        <f t="shared" si="1"/>
        <v/>
      </c>
      <c r="AQ33" s="98" t="str">
        <f t="shared" si="26"/>
        <v/>
      </c>
      <c r="AR33" s="9" t="str">
        <f t="shared" si="27"/>
        <v/>
      </c>
      <c r="AS33" s="19" t="str">
        <f t="shared" si="28"/>
        <v/>
      </c>
      <c r="AT33" s="9" t="str">
        <f t="shared" si="29"/>
        <v/>
      </c>
      <c r="AU33" s="84" t="str">
        <f t="shared" si="30"/>
        <v/>
      </c>
      <c r="AV33" s="106" t="str">
        <f t="shared" si="2"/>
        <v/>
      </c>
      <c r="AW33" s="112" t="str">
        <f t="shared" si="31"/>
        <v/>
      </c>
      <c r="AX33" s="107" t="str">
        <f t="shared" si="32"/>
        <v/>
      </c>
      <c r="AY33" s="108" t="str">
        <f t="shared" si="33"/>
        <v/>
      </c>
      <c r="AZ33" s="56" t="str">
        <f t="shared" si="34"/>
        <v/>
      </c>
      <c r="BA33" s="51" t="str">
        <f t="shared" si="43"/>
        <v/>
      </c>
      <c r="BC33" s="61" t="str">
        <f t="shared" si="44"/>
        <v/>
      </c>
      <c r="BD33" s="56">
        <f t="shared" si="45"/>
        <v>95</v>
      </c>
      <c r="BE33" s="32">
        <f t="shared" si="46"/>
        <v>-11.333333333333336</v>
      </c>
      <c r="BH33" s="32">
        <f t="shared" si="47"/>
        <v>95</v>
      </c>
      <c r="BI33">
        <f t="shared" si="48"/>
        <v>42.72711060665096</v>
      </c>
    </row>
    <row r="34" spans="1:61">
      <c r="A34" s="42">
        <v>10</v>
      </c>
      <c r="B34" s="33">
        <f t="shared" si="35"/>
        <v>-175</v>
      </c>
      <c r="C34" s="77">
        <f t="shared" si="3"/>
        <v>-175</v>
      </c>
      <c r="D34" s="33">
        <f t="shared" si="4"/>
        <v>-135</v>
      </c>
      <c r="E34" s="43"/>
      <c r="F34" s="42">
        <v>10</v>
      </c>
      <c r="G34" s="9">
        <f t="shared" si="5"/>
        <v>-5.7499999999999716</v>
      </c>
      <c r="H34" s="9" t="str">
        <f t="shared" si="36"/>
        <v/>
      </c>
      <c r="I34" s="72" t="str">
        <f>IF(H34="","",TRUNC(H34)*100+(H34-TRUNC(H34))*60)</f>
        <v/>
      </c>
      <c r="J34" s="84" t="str">
        <f t="shared" si="6"/>
        <v/>
      </c>
      <c r="K34" s="81">
        <v>10</v>
      </c>
      <c r="L34" s="9" t="str">
        <f t="shared" si="49"/>
        <v/>
      </c>
      <c r="M34" s="9" t="str">
        <f t="shared" si="52"/>
        <v/>
      </c>
      <c r="N34" s="32" t="str">
        <f t="shared" si="50"/>
        <v/>
      </c>
      <c r="O34" s="32" t="str">
        <f t="shared" si="38"/>
        <v/>
      </c>
      <c r="P34">
        <v>10</v>
      </c>
      <c r="Q34" s="9" t="str">
        <f t="shared" si="51"/>
        <v/>
      </c>
      <c r="R34" s="200" t="str">
        <f t="shared" si="7"/>
        <v/>
      </c>
      <c r="S34" s="56" t="str">
        <f t="shared" si="8"/>
        <v/>
      </c>
      <c r="T34" s="87" t="e">
        <f t="shared" si="39"/>
        <v>#N/A</v>
      </c>
      <c r="U34" s="33" t="e">
        <f t="shared" si="9"/>
        <v>#N/A</v>
      </c>
      <c r="V34" s="89" t="e">
        <f t="shared" si="40"/>
        <v>#N/A</v>
      </c>
      <c r="W34" s="84" t="e">
        <f t="shared" si="41"/>
        <v>#N/A</v>
      </c>
      <c r="X34" s="91" t="str">
        <f t="shared" si="10"/>
        <v/>
      </c>
      <c r="Y34" s="56" t="str">
        <f t="shared" si="11"/>
        <v/>
      </c>
      <c r="Z34" s="9" t="str">
        <f t="shared" si="12"/>
        <v/>
      </c>
      <c r="AA34" s="43" t="str">
        <f t="shared" si="13"/>
        <v/>
      </c>
      <c r="AB34" s="98" t="str">
        <f t="shared" si="42"/>
        <v/>
      </c>
      <c r="AC34" s="9" t="str">
        <f t="shared" si="14"/>
        <v/>
      </c>
      <c r="AD34" s="84" t="str">
        <f t="shared" si="15"/>
        <v/>
      </c>
      <c r="AE34" s="97" t="str">
        <f t="shared" si="16"/>
        <v/>
      </c>
      <c r="AF34" s="19" t="str">
        <f t="shared" si="17"/>
        <v/>
      </c>
      <c r="AG34" s="19" t="str">
        <f t="shared" si="18"/>
        <v/>
      </c>
      <c r="AH34" s="19" t="str">
        <f t="shared" si="19"/>
        <v/>
      </c>
      <c r="AI34" s="103" t="str">
        <f t="shared" si="20"/>
        <v/>
      </c>
      <c r="AJ34" s="98" t="str">
        <f t="shared" si="21"/>
        <v/>
      </c>
      <c r="AK34" s="9" t="str">
        <f t="shared" si="22"/>
        <v/>
      </c>
      <c r="AL34" s="9" t="str">
        <f t="shared" si="23"/>
        <v/>
      </c>
      <c r="AM34" s="9" t="str">
        <f t="shared" si="24"/>
        <v/>
      </c>
      <c r="AN34" s="92" t="str">
        <f t="shared" si="25"/>
        <v/>
      </c>
      <c r="AO34" s="98" t="str">
        <f t="shared" si="0"/>
        <v/>
      </c>
      <c r="AP34" s="103" t="str">
        <f t="shared" si="1"/>
        <v/>
      </c>
      <c r="AQ34" s="98" t="str">
        <f t="shared" si="26"/>
        <v/>
      </c>
      <c r="AR34" s="9" t="str">
        <f t="shared" si="27"/>
        <v/>
      </c>
      <c r="AS34" s="19" t="str">
        <f t="shared" si="28"/>
        <v/>
      </c>
      <c r="AT34" s="9" t="str">
        <f t="shared" si="29"/>
        <v/>
      </c>
      <c r="AU34" s="84" t="str">
        <f t="shared" si="30"/>
        <v/>
      </c>
      <c r="AV34" s="106" t="str">
        <f t="shared" si="2"/>
        <v/>
      </c>
      <c r="AW34" s="112" t="str">
        <f t="shared" si="31"/>
        <v/>
      </c>
      <c r="AX34" s="107" t="str">
        <f t="shared" si="32"/>
        <v/>
      </c>
      <c r="AY34" s="108" t="str">
        <f t="shared" si="33"/>
        <v/>
      </c>
      <c r="AZ34" s="56" t="str">
        <f t="shared" si="34"/>
        <v/>
      </c>
      <c r="BA34" s="51" t="str">
        <f t="shared" si="43"/>
        <v/>
      </c>
      <c r="BC34" s="61" t="str">
        <f t="shared" si="44"/>
        <v/>
      </c>
      <c r="BD34" s="56">
        <f t="shared" si="45"/>
        <v>95</v>
      </c>
      <c r="BE34" s="32">
        <f t="shared" si="46"/>
        <v>-11.333333333333336</v>
      </c>
      <c r="BH34" s="32">
        <f t="shared" si="47"/>
        <v>95</v>
      </c>
      <c r="BI34">
        <f t="shared" si="48"/>
        <v>42.72711060665096</v>
      </c>
    </row>
    <row r="35" spans="1:61">
      <c r="A35" s="42">
        <v>11</v>
      </c>
      <c r="B35" s="33">
        <f t="shared" si="35"/>
        <v>-170</v>
      </c>
      <c r="C35" s="77">
        <f t="shared" si="3"/>
        <v>-170</v>
      </c>
      <c r="D35" s="33">
        <f t="shared" si="4"/>
        <v>-130</v>
      </c>
      <c r="E35" s="43"/>
      <c r="F35" s="42">
        <v>11</v>
      </c>
      <c r="G35" s="9">
        <f t="shared" si="5"/>
        <v>18.000000000000028</v>
      </c>
      <c r="H35" s="9" t="str">
        <f t="shared" si="36"/>
        <v/>
      </c>
      <c r="I35" s="72" t="str">
        <f t="shared" si="37"/>
        <v/>
      </c>
      <c r="J35" s="84" t="str">
        <f t="shared" si="6"/>
        <v/>
      </c>
      <c r="K35" s="81">
        <v>11</v>
      </c>
      <c r="L35" s="9" t="str">
        <f t="shared" si="49"/>
        <v/>
      </c>
      <c r="M35" s="9" t="str">
        <f t="shared" si="52"/>
        <v/>
      </c>
      <c r="N35" s="32" t="str">
        <f t="shared" si="50"/>
        <v/>
      </c>
      <c r="O35" s="32" t="str">
        <f t="shared" si="38"/>
        <v/>
      </c>
      <c r="P35">
        <v>11</v>
      </c>
      <c r="Q35" s="9" t="str">
        <f t="shared" si="51"/>
        <v/>
      </c>
      <c r="R35" s="200" t="str">
        <f t="shared" si="7"/>
        <v/>
      </c>
      <c r="S35" s="56" t="str">
        <f t="shared" si="8"/>
        <v/>
      </c>
      <c r="T35" s="87" t="e">
        <f t="shared" si="39"/>
        <v>#N/A</v>
      </c>
      <c r="U35" s="33" t="e">
        <f t="shared" si="9"/>
        <v>#N/A</v>
      </c>
      <c r="V35" s="89" t="e">
        <f t="shared" si="40"/>
        <v>#N/A</v>
      </c>
      <c r="W35" s="84" t="e">
        <f t="shared" si="41"/>
        <v>#N/A</v>
      </c>
      <c r="X35" s="91" t="str">
        <f t="shared" si="10"/>
        <v/>
      </c>
      <c r="Y35" s="56" t="str">
        <f t="shared" si="11"/>
        <v/>
      </c>
      <c r="Z35" s="9" t="str">
        <f t="shared" si="12"/>
        <v/>
      </c>
      <c r="AA35" s="43" t="str">
        <f t="shared" si="13"/>
        <v/>
      </c>
      <c r="AB35" s="98" t="str">
        <f t="shared" si="42"/>
        <v/>
      </c>
      <c r="AC35" s="9" t="str">
        <f t="shared" si="14"/>
        <v/>
      </c>
      <c r="AD35" s="43" t="str">
        <f t="shared" si="15"/>
        <v/>
      </c>
      <c r="AE35" s="97" t="str">
        <f t="shared" si="16"/>
        <v/>
      </c>
      <c r="AF35" s="19" t="str">
        <f t="shared" si="17"/>
        <v/>
      </c>
      <c r="AG35" s="19" t="str">
        <f t="shared" si="18"/>
        <v/>
      </c>
      <c r="AH35" s="19" t="str">
        <f t="shared" si="19"/>
        <v/>
      </c>
      <c r="AI35" s="43" t="str">
        <f t="shared" si="20"/>
        <v/>
      </c>
      <c r="AJ35" s="98" t="str">
        <f t="shared" si="21"/>
        <v/>
      </c>
      <c r="AK35" s="9" t="str">
        <f t="shared" si="22"/>
        <v/>
      </c>
      <c r="AL35" s="9" t="str">
        <f t="shared" si="23"/>
        <v/>
      </c>
      <c r="AM35" s="9" t="str">
        <f t="shared" si="24"/>
        <v/>
      </c>
      <c r="AN35" s="51" t="str">
        <f t="shared" si="25"/>
        <v/>
      </c>
      <c r="AO35" s="98" t="str">
        <f t="shared" si="0"/>
        <v/>
      </c>
      <c r="AP35" s="103" t="str">
        <f t="shared" si="1"/>
        <v/>
      </c>
      <c r="AQ35" s="98" t="str">
        <f t="shared" si="26"/>
        <v/>
      </c>
      <c r="AR35" s="9" t="str">
        <f t="shared" si="27"/>
        <v/>
      </c>
      <c r="AS35" s="19" t="str">
        <f t="shared" si="28"/>
        <v/>
      </c>
      <c r="AT35" s="9" t="str">
        <f t="shared" si="29"/>
        <v/>
      </c>
      <c r="AU35" s="84" t="str">
        <f t="shared" si="30"/>
        <v/>
      </c>
      <c r="AV35" s="106" t="str">
        <f t="shared" si="2"/>
        <v/>
      </c>
      <c r="AW35" s="112" t="str">
        <f t="shared" si="31"/>
        <v/>
      </c>
      <c r="AX35" s="107" t="str">
        <f t="shared" si="32"/>
        <v/>
      </c>
      <c r="AY35" s="108" t="str">
        <f t="shared" si="33"/>
        <v/>
      </c>
      <c r="AZ35" s="56" t="str">
        <f t="shared" si="34"/>
        <v/>
      </c>
      <c r="BA35" s="51" t="str">
        <f t="shared" si="43"/>
        <v/>
      </c>
      <c r="BC35" s="61" t="str">
        <f t="shared" si="44"/>
        <v/>
      </c>
      <c r="BD35" s="56">
        <f t="shared" si="45"/>
        <v>95</v>
      </c>
      <c r="BE35" s="32">
        <f t="shared" si="46"/>
        <v>-11.333333333333336</v>
      </c>
      <c r="BH35" s="32">
        <f t="shared" si="47"/>
        <v>95</v>
      </c>
      <c r="BI35">
        <f t="shared" si="48"/>
        <v>42.72711060665096</v>
      </c>
    </row>
    <row r="36" spans="1:61">
      <c r="A36" s="42">
        <v>12</v>
      </c>
      <c r="B36" s="33">
        <f t="shared" si="35"/>
        <v>-165</v>
      </c>
      <c r="C36" s="77">
        <f t="shared" si="3"/>
        <v>-165</v>
      </c>
      <c r="D36" s="33">
        <f t="shared" si="4"/>
        <v>-125</v>
      </c>
      <c r="E36" s="43"/>
      <c r="F36" s="42">
        <v>12</v>
      </c>
      <c r="G36" s="9">
        <f t="shared" si="5"/>
        <v>41.750000000000028</v>
      </c>
      <c r="H36" s="9" t="str">
        <f t="shared" si="36"/>
        <v/>
      </c>
      <c r="I36" s="72" t="str">
        <f t="shared" si="37"/>
        <v/>
      </c>
      <c r="J36" s="84" t="str">
        <f t="shared" si="6"/>
        <v/>
      </c>
      <c r="K36" s="81">
        <v>12</v>
      </c>
      <c r="L36" s="9" t="str">
        <f t="shared" si="49"/>
        <v/>
      </c>
      <c r="M36" s="9" t="str">
        <f t="shared" si="52"/>
        <v/>
      </c>
      <c r="N36" s="32" t="str">
        <f t="shared" si="50"/>
        <v/>
      </c>
      <c r="O36" s="32" t="str">
        <f t="shared" si="38"/>
        <v/>
      </c>
      <c r="P36">
        <v>12</v>
      </c>
      <c r="Q36" s="9" t="str">
        <f t="shared" si="51"/>
        <v/>
      </c>
      <c r="R36" s="200" t="str">
        <f t="shared" si="7"/>
        <v/>
      </c>
      <c r="S36" s="56" t="str">
        <f t="shared" si="8"/>
        <v/>
      </c>
      <c r="T36" s="87" t="e">
        <f t="shared" si="39"/>
        <v>#N/A</v>
      </c>
      <c r="U36" s="33" t="e">
        <f>IF(U35="","",IF(U35=$T$21,"",IF(T36=$T$22,$T$21,T36)))</f>
        <v>#N/A</v>
      </c>
      <c r="V36" s="89" t="e">
        <f t="shared" si="40"/>
        <v>#N/A</v>
      </c>
      <c r="W36" s="84" t="e">
        <f t="shared" si="41"/>
        <v>#N/A</v>
      </c>
      <c r="X36" s="91" t="str">
        <f t="shared" si="10"/>
        <v/>
      </c>
      <c r="Y36" s="56" t="str">
        <f t="shared" si="11"/>
        <v/>
      </c>
      <c r="Z36" s="9" t="str">
        <f t="shared" si="12"/>
        <v/>
      </c>
      <c r="AA36" s="43" t="str">
        <f t="shared" si="13"/>
        <v/>
      </c>
      <c r="AB36" s="98" t="str">
        <f t="shared" si="42"/>
        <v/>
      </c>
      <c r="AC36" s="9" t="str">
        <f t="shared" si="14"/>
        <v/>
      </c>
      <c r="AD36" s="43" t="str">
        <f t="shared" si="15"/>
        <v/>
      </c>
      <c r="AE36" s="97" t="str">
        <f t="shared" si="16"/>
        <v/>
      </c>
      <c r="AF36" s="19" t="str">
        <f t="shared" si="17"/>
        <v/>
      </c>
      <c r="AG36" s="19" t="str">
        <f t="shared" si="18"/>
        <v/>
      </c>
      <c r="AH36" s="19" t="str">
        <f t="shared" si="19"/>
        <v/>
      </c>
      <c r="AI36" s="43" t="str">
        <f t="shared" si="20"/>
        <v/>
      </c>
      <c r="AJ36" s="98" t="str">
        <f t="shared" si="21"/>
        <v/>
      </c>
      <c r="AK36" s="9" t="str">
        <f t="shared" si="22"/>
        <v/>
      </c>
      <c r="AL36" s="9" t="str">
        <f t="shared" si="23"/>
        <v/>
      </c>
      <c r="AM36" s="9" t="str">
        <f t="shared" si="24"/>
        <v/>
      </c>
      <c r="AN36" s="51" t="str">
        <f t="shared" si="25"/>
        <v/>
      </c>
      <c r="AO36" s="98" t="str">
        <f t="shared" si="0"/>
        <v/>
      </c>
      <c r="AP36" s="103" t="str">
        <f t="shared" si="1"/>
        <v/>
      </c>
      <c r="AQ36" s="98" t="str">
        <f t="shared" si="26"/>
        <v/>
      </c>
      <c r="AR36" s="9" t="str">
        <f t="shared" si="27"/>
        <v/>
      </c>
      <c r="AS36" s="19" t="str">
        <f t="shared" si="28"/>
        <v/>
      </c>
      <c r="AT36" s="9" t="str">
        <f t="shared" si="29"/>
        <v/>
      </c>
      <c r="AU36" s="84" t="str">
        <f t="shared" si="30"/>
        <v/>
      </c>
      <c r="AV36" s="106" t="str">
        <f t="shared" si="2"/>
        <v/>
      </c>
      <c r="AW36" s="112" t="str">
        <f t="shared" si="31"/>
        <v/>
      </c>
      <c r="AX36" s="107" t="str">
        <f t="shared" si="32"/>
        <v/>
      </c>
      <c r="AY36" s="108" t="str">
        <f t="shared" si="33"/>
        <v/>
      </c>
      <c r="AZ36" s="56" t="str">
        <f t="shared" si="34"/>
        <v/>
      </c>
      <c r="BA36" s="51" t="str">
        <f t="shared" si="43"/>
        <v/>
      </c>
      <c r="BC36" s="61" t="str">
        <f t="shared" si="44"/>
        <v/>
      </c>
      <c r="BD36" s="56">
        <f t="shared" si="45"/>
        <v>95</v>
      </c>
      <c r="BE36" s="32">
        <f t="shared" si="46"/>
        <v>-11.333333333333336</v>
      </c>
      <c r="BH36" s="32">
        <f t="shared" si="47"/>
        <v>95</v>
      </c>
      <c r="BI36">
        <f t="shared" si="48"/>
        <v>42.72711060665096</v>
      </c>
    </row>
    <row r="37" spans="1:61">
      <c r="A37" s="42">
        <v>13</v>
      </c>
      <c r="B37" s="33">
        <f t="shared" si="35"/>
        <v>-160</v>
      </c>
      <c r="C37" s="77">
        <f t="shared" si="3"/>
        <v>-160</v>
      </c>
      <c r="D37" s="33">
        <f t="shared" si="4"/>
        <v>-124.5</v>
      </c>
      <c r="E37" s="43"/>
      <c r="F37" s="42">
        <v>13</v>
      </c>
      <c r="G37" s="9">
        <f t="shared" si="5"/>
        <v>65.500000000000028</v>
      </c>
      <c r="H37" s="9" t="str">
        <f t="shared" si="36"/>
        <v/>
      </c>
      <c r="I37" s="72" t="str">
        <f t="shared" si="37"/>
        <v/>
      </c>
      <c r="J37" s="84" t="str">
        <f t="shared" si="6"/>
        <v/>
      </c>
      <c r="K37" s="81">
        <v>13</v>
      </c>
      <c r="L37" s="9" t="str">
        <f t="shared" si="49"/>
        <v/>
      </c>
      <c r="M37" s="9" t="str">
        <f t="shared" si="52"/>
        <v/>
      </c>
      <c r="N37" s="32" t="str">
        <f t="shared" si="50"/>
        <v/>
      </c>
      <c r="O37" s="32" t="str">
        <f t="shared" si="38"/>
        <v/>
      </c>
      <c r="P37">
        <v>13</v>
      </c>
      <c r="Q37" s="9" t="str">
        <f t="shared" si="51"/>
        <v/>
      </c>
      <c r="R37" s="200" t="str">
        <f t="shared" si="7"/>
        <v/>
      </c>
      <c r="S37" s="56" t="str">
        <f t="shared" si="8"/>
        <v/>
      </c>
      <c r="T37" s="87" t="e">
        <f t="shared" si="39"/>
        <v>#N/A</v>
      </c>
      <c r="U37" s="33" t="e">
        <f t="shared" ref="U37:U75" si="53">IF(U36="","",IF(U36=$T$21,"",IF(T37=$T$22,$T$21,T37)))</f>
        <v>#N/A</v>
      </c>
      <c r="V37" s="89" t="e">
        <f t="shared" si="40"/>
        <v>#N/A</v>
      </c>
      <c r="W37" s="84" t="e">
        <f t="shared" si="41"/>
        <v>#N/A</v>
      </c>
      <c r="X37" s="91" t="str">
        <f t="shared" si="10"/>
        <v/>
      </c>
      <c r="Y37" s="56" t="str">
        <f t="shared" si="11"/>
        <v/>
      </c>
      <c r="Z37" s="9" t="str">
        <f t="shared" si="12"/>
        <v/>
      </c>
      <c r="AA37" s="43" t="str">
        <f t="shared" si="13"/>
        <v/>
      </c>
      <c r="AB37" s="98" t="str">
        <f t="shared" si="42"/>
        <v/>
      </c>
      <c r="AC37" s="9" t="str">
        <f t="shared" si="14"/>
        <v/>
      </c>
      <c r="AD37" s="43" t="str">
        <f t="shared" si="15"/>
        <v/>
      </c>
      <c r="AE37" s="97" t="str">
        <f t="shared" si="16"/>
        <v/>
      </c>
      <c r="AF37" s="19" t="str">
        <f t="shared" si="17"/>
        <v/>
      </c>
      <c r="AG37" s="19" t="str">
        <f t="shared" si="18"/>
        <v/>
      </c>
      <c r="AH37" s="19" t="str">
        <f t="shared" si="19"/>
        <v/>
      </c>
      <c r="AI37" s="43" t="str">
        <f t="shared" si="20"/>
        <v/>
      </c>
      <c r="AJ37" s="98" t="str">
        <f t="shared" si="21"/>
        <v/>
      </c>
      <c r="AK37" s="9" t="str">
        <f t="shared" si="22"/>
        <v/>
      </c>
      <c r="AL37" s="9" t="str">
        <f t="shared" si="23"/>
        <v/>
      </c>
      <c r="AM37" s="9" t="str">
        <f t="shared" si="24"/>
        <v/>
      </c>
      <c r="AN37" s="51" t="str">
        <f t="shared" si="25"/>
        <v/>
      </c>
      <c r="AO37" s="98" t="str">
        <f t="shared" si="0"/>
        <v/>
      </c>
      <c r="AP37" s="103" t="str">
        <f t="shared" si="1"/>
        <v/>
      </c>
      <c r="AQ37" s="98" t="str">
        <f t="shared" si="26"/>
        <v/>
      </c>
      <c r="AR37" s="9" t="str">
        <f t="shared" si="27"/>
        <v/>
      </c>
      <c r="AS37" s="19" t="str">
        <f t="shared" si="28"/>
        <v/>
      </c>
      <c r="AT37" s="9" t="str">
        <f t="shared" si="29"/>
        <v/>
      </c>
      <c r="AU37" s="84" t="str">
        <f t="shared" si="30"/>
        <v/>
      </c>
      <c r="AV37" s="106" t="str">
        <f t="shared" si="2"/>
        <v/>
      </c>
      <c r="AW37" s="112" t="str">
        <f t="shared" si="31"/>
        <v/>
      </c>
      <c r="AX37" s="107" t="str">
        <f t="shared" si="32"/>
        <v/>
      </c>
      <c r="AY37" s="108" t="str">
        <f t="shared" si="33"/>
        <v/>
      </c>
      <c r="AZ37" s="56" t="str">
        <f t="shared" si="34"/>
        <v/>
      </c>
      <c r="BA37" s="51" t="str">
        <f t="shared" si="43"/>
        <v/>
      </c>
      <c r="BC37" s="61" t="str">
        <f t="shared" si="44"/>
        <v/>
      </c>
      <c r="BD37" s="56">
        <f t="shared" si="45"/>
        <v>95</v>
      </c>
      <c r="BE37" s="32">
        <f t="shared" si="46"/>
        <v>-11.333333333333336</v>
      </c>
      <c r="BH37" s="32">
        <f t="shared" si="47"/>
        <v>95</v>
      </c>
      <c r="BI37">
        <f t="shared" si="48"/>
        <v>42.72711060665096</v>
      </c>
    </row>
    <row r="38" spans="1:61">
      <c r="A38" s="42">
        <v>14</v>
      </c>
      <c r="B38" s="33">
        <f t="shared" si="35"/>
        <v>-155</v>
      </c>
      <c r="C38" s="77">
        <f t="shared" si="3"/>
        <v>-155</v>
      </c>
      <c r="D38" s="33" t="str">
        <f t="shared" si="4"/>
        <v/>
      </c>
      <c r="E38" s="43"/>
      <c r="F38" s="42">
        <v>14</v>
      </c>
      <c r="G38" s="9">
        <f t="shared" si="5"/>
        <v>89.250000000000028</v>
      </c>
      <c r="H38" s="9" t="str">
        <f t="shared" si="36"/>
        <v/>
      </c>
      <c r="I38" s="72" t="str">
        <f t="shared" si="37"/>
        <v/>
      </c>
      <c r="J38" s="84" t="str">
        <f t="shared" si="6"/>
        <v/>
      </c>
      <c r="K38" s="81">
        <v>14</v>
      </c>
      <c r="L38" s="9" t="str">
        <f t="shared" si="49"/>
        <v/>
      </c>
      <c r="M38" s="9" t="str">
        <f t="shared" si="52"/>
        <v/>
      </c>
      <c r="N38" s="32" t="str">
        <f t="shared" si="50"/>
        <v/>
      </c>
      <c r="O38" s="32" t="str">
        <f t="shared" si="38"/>
        <v/>
      </c>
      <c r="P38">
        <v>14</v>
      </c>
      <c r="Q38" s="9" t="str">
        <f t="shared" si="51"/>
        <v/>
      </c>
      <c r="R38" s="200" t="str">
        <f>IF(Q38="","",TRUNC(Q38)*100+(Q38-TRUNC(Q38))*60)</f>
        <v/>
      </c>
      <c r="S38" s="56" t="str">
        <f>IF(R38="","",TRUNC(R38/100)+(R38/100-TRUNC(R38/100))/0.6)</f>
        <v/>
      </c>
      <c r="T38" s="87" t="e">
        <f t="shared" si="39"/>
        <v>#N/A</v>
      </c>
      <c r="U38" s="33" t="e">
        <f t="shared" si="53"/>
        <v>#N/A</v>
      </c>
      <c r="V38" s="89" t="e">
        <f t="shared" si="40"/>
        <v>#N/A</v>
      </c>
      <c r="W38" s="84" t="e">
        <f t="shared" si="41"/>
        <v>#N/A</v>
      </c>
      <c r="X38" s="91" t="str">
        <f t="shared" si="10"/>
        <v/>
      </c>
      <c r="Y38" s="56" t="str">
        <f t="shared" si="11"/>
        <v/>
      </c>
      <c r="Z38" s="9" t="str">
        <f t="shared" si="12"/>
        <v/>
      </c>
      <c r="AA38" s="43" t="str">
        <f t="shared" si="13"/>
        <v/>
      </c>
      <c r="AB38" s="98" t="str">
        <f t="shared" si="42"/>
        <v/>
      </c>
      <c r="AC38" s="9" t="str">
        <f t="shared" si="14"/>
        <v/>
      </c>
      <c r="AD38" s="43" t="str">
        <f t="shared" si="15"/>
        <v/>
      </c>
      <c r="AE38" s="97" t="str">
        <f t="shared" si="16"/>
        <v/>
      </c>
      <c r="AF38" s="19" t="str">
        <f t="shared" si="17"/>
        <v/>
      </c>
      <c r="AG38" s="19" t="str">
        <f t="shared" si="18"/>
        <v/>
      </c>
      <c r="AH38" s="19" t="str">
        <f t="shared" si="19"/>
        <v/>
      </c>
      <c r="AI38" s="43" t="str">
        <f t="shared" si="20"/>
        <v/>
      </c>
      <c r="AJ38" s="98" t="str">
        <f t="shared" si="21"/>
        <v/>
      </c>
      <c r="AK38" s="9" t="str">
        <f t="shared" si="22"/>
        <v/>
      </c>
      <c r="AL38" s="9" t="str">
        <f t="shared" si="23"/>
        <v/>
      </c>
      <c r="AM38" s="9" t="str">
        <f t="shared" si="24"/>
        <v/>
      </c>
      <c r="AN38" s="51" t="str">
        <f t="shared" si="25"/>
        <v/>
      </c>
      <c r="AO38" s="98" t="str">
        <f t="shared" si="0"/>
        <v/>
      </c>
      <c r="AP38" s="103" t="str">
        <f t="shared" si="1"/>
        <v/>
      </c>
      <c r="AQ38" s="98" t="str">
        <f t="shared" si="26"/>
        <v/>
      </c>
      <c r="AR38" s="9" t="str">
        <f t="shared" si="27"/>
        <v/>
      </c>
      <c r="AS38" s="19" t="str">
        <f t="shared" si="28"/>
        <v/>
      </c>
      <c r="AT38" s="9" t="str">
        <f t="shared" si="29"/>
        <v/>
      </c>
      <c r="AU38" s="84" t="str">
        <f t="shared" si="30"/>
        <v/>
      </c>
      <c r="AV38" s="106" t="str">
        <f t="shared" si="2"/>
        <v/>
      </c>
      <c r="AW38" s="112" t="str">
        <f t="shared" si="31"/>
        <v/>
      </c>
      <c r="AX38" s="107" t="str">
        <f t="shared" si="32"/>
        <v/>
      </c>
      <c r="AY38" s="108" t="str">
        <f t="shared" si="33"/>
        <v/>
      </c>
      <c r="AZ38" s="56" t="str">
        <f t="shared" si="34"/>
        <v/>
      </c>
      <c r="BA38" s="51" t="str">
        <f t="shared" si="43"/>
        <v/>
      </c>
      <c r="BC38" s="61" t="str">
        <f t="shared" si="44"/>
        <v/>
      </c>
      <c r="BD38" s="56">
        <f t="shared" si="45"/>
        <v>95</v>
      </c>
      <c r="BE38" s="32">
        <f t="shared" si="46"/>
        <v>-11.333333333333336</v>
      </c>
      <c r="BH38" s="32">
        <f t="shared" si="47"/>
        <v>95</v>
      </c>
      <c r="BI38">
        <f t="shared" si="48"/>
        <v>42.72711060665096</v>
      </c>
    </row>
    <row r="39" spans="1:61">
      <c r="A39" s="42">
        <v>15</v>
      </c>
      <c r="B39" s="33">
        <f t="shared" si="35"/>
        <v>-150</v>
      </c>
      <c r="C39" s="77">
        <f t="shared" si="3"/>
        <v>-150</v>
      </c>
      <c r="D39" s="33" t="str">
        <f t="shared" si="4"/>
        <v/>
      </c>
      <c r="E39" s="43"/>
      <c r="F39" s="42">
        <v>15</v>
      </c>
      <c r="G39" s="9">
        <f t="shared" si="5"/>
        <v>113.00000000000003</v>
      </c>
      <c r="H39" s="9" t="str">
        <f t="shared" si="36"/>
        <v/>
      </c>
      <c r="I39" s="72" t="str">
        <f t="shared" si="37"/>
        <v/>
      </c>
      <c r="J39" s="84" t="str">
        <f t="shared" si="6"/>
        <v/>
      </c>
      <c r="K39" s="81">
        <v>15</v>
      </c>
      <c r="L39" s="9" t="str">
        <f t="shared" si="49"/>
        <v/>
      </c>
      <c r="M39" s="9" t="str">
        <f t="shared" si="52"/>
        <v/>
      </c>
      <c r="N39" s="32" t="str">
        <f t="shared" si="50"/>
        <v/>
      </c>
      <c r="O39" s="32" t="str">
        <f t="shared" si="38"/>
        <v/>
      </c>
      <c r="P39">
        <v>15</v>
      </c>
      <c r="Q39" s="9" t="str">
        <f t="shared" si="51"/>
        <v/>
      </c>
      <c r="R39" s="200" t="str">
        <f t="shared" si="7"/>
        <v/>
      </c>
      <c r="S39" s="56" t="str">
        <f t="shared" ref="S39:S75" si="54">IF(R39="","",TRUNC(R39/100)+(R39/100-TRUNC(R39/100))/0.6)</f>
        <v/>
      </c>
      <c r="T39" s="87" t="e">
        <f t="shared" si="39"/>
        <v>#N/A</v>
      </c>
      <c r="U39" s="33" t="e">
        <f t="shared" si="53"/>
        <v>#N/A</v>
      </c>
      <c r="V39" s="89" t="e">
        <f t="shared" si="40"/>
        <v>#N/A</v>
      </c>
      <c r="W39" s="84" t="e">
        <f t="shared" si="41"/>
        <v>#N/A</v>
      </c>
      <c r="X39" s="91" t="str">
        <f t="shared" si="10"/>
        <v/>
      </c>
      <c r="Y39" s="56" t="str">
        <f t="shared" si="11"/>
        <v/>
      </c>
      <c r="Z39" s="9" t="str">
        <f t="shared" si="12"/>
        <v/>
      </c>
      <c r="AA39" s="43" t="str">
        <f t="shared" si="13"/>
        <v/>
      </c>
      <c r="AB39" s="98" t="str">
        <f t="shared" si="42"/>
        <v/>
      </c>
      <c r="AC39" s="9" t="str">
        <f t="shared" si="14"/>
        <v/>
      </c>
      <c r="AD39" s="43" t="str">
        <f t="shared" si="15"/>
        <v/>
      </c>
      <c r="AE39" s="97" t="str">
        <f t="shared" si="16"/>
        <v/>
      </c>
      <c r="AF39" s="19" t="str">
        <f t="shared" si="17"/>
        <v/>
      </c>
      <c r="AG39" s="19" t="str">
        <f t="shared" si="18"/>
        <v/>
      </c>
      <c r="AH39" s="19" t="str">
        <f t="shared" si="19"/>
        <v/>
      </c>
      <c r="AI39" s="43" t="str">
        <f t="shared" si="20"/>
        <v/>
      </c>
      <c r="AJ39" s="98" t="str">
        <f t="shared" si="21"/>
        <v/>
      </c>
      <c r="AK39" s="9" t="str">
        <f t="shared" si="22"/>
        <v/>
      </c>
      <c r="AL39" s="9" t="str">
        <f t="shared" si="23"/>
        <v/>
      </c>
      <c r="AM39" s="9" t="str">
        <f t="shared" si="24"/>
        <v/>
      </c>
      <c r="AN39" s="51" t="str">
        <f t="shared" si="25"/>
        <v/>
      </c>
      <c r="AO39" s="98" t="str">
        <f t="shared" si="0"/>
        <v/>
      </c>
      <c r="AP39" s="103" t="str">
        <f t="shared" si="1"/>
        <v/>
      </c>
      <c r="AQ39" s="98" t="str">
        <f t="shared" si="26"/>
        <v/>
      </c>
      <c r="AR39" s="9" t="str">
        <f t="shared" si="27"/>
        <v/>
      </c>
      <c r="AS39" s="19" t="str">
        <f t="shared" si="28"/>
        <v/>
      </c>
      <c r="AT39" s="9" t="str">
        <f t="shared" si="29"/>
        <v/>
      </c>
      <c r="AU39" s="84" t="str">
        <f t="shared" si="30"/>
        <v/>
      </c>
      <c r="AV39" s="106" t="str">
        <f t="shared" si="2"/>
        <v/>
      </c>
      <c r="AW39" s="112" t="str">
        <f t="shared" si="31"/>
        <v/>
      </c>
      <c r="AX39" s="107" t="str">
        <f t="shared" si="32"/>
        <v/>
      </c>
      <c r="AY39" s="108" t="str">
        <f t="shared" si="33"/>
        <v/>
      </c>
      <c r="AZ39" s="56" t="str">
        <f t="shared" si="34"/>
        <v/>
      </c>
      <c r="BA39" s="51" t="str">
        <f t="shared" si="43"/>
        <v/>
      </c>
      <c r="BC39" s="61" t="str">
        <f t="shared" si="44"/>
        <v/>
      </c>
      <c r="BD39" s="56">
        <f t="shared" si="45"/>
        <v>95</v>
      </c>
      <c r="BE39" s="32">
        <f t="shared" si="46"/>
        <v>-11.333333333333336</v>
      </c>
      <c r="BH39" s="32">
        <f t="shared" si="47"/>
        <v>95</v>
      </c>
      <c r="BI39">
        <f t="shared" si="48"/>
        <v>42.72711060665096</v>
      </c>
    </row>
    <row r="40" spans="1:61">
      <c r="A40" s="42">
        <v>16</v>
      </c>
      <c r="B40" s="33">
        <f t="shared" si="35"/>
        <v>-145</v>
      </c>
      <c r="C40" s="77">
        <f t="shared" si="3"/>
        <v>-145</v>
      </c>
      <c r="D40" s="33" t="str">
        <f t="shared" si="4"/>
        <v/>
      </c>
      <c r="E40" s="43"/>
      <c r="F40" s="42">
        <v>16</v>
      </c>
      <c r="G40" s="9">
        <f t="shared" si="5"/>
        <v>136.75000000000003</v>
      </c>
      <c r="H40" s="9" t="str">
        <f t="shared" si="36"/>
        <v/>
      </c>
      <c r="I40" s="72" t="str">
        <f t="shared" si="37"/>
        <v/>
      </c>
      <c r="J40" s="84" t="str">
        <f t="shared" si="6"/>
        <v/>
      </c>
      <c r="K40" s="81">
        <v>16</v>
      </c>
      <c r="L40" s="9" t="str">
        <f t="shared" si="49"/>
        <v/>
      </c>
      <c r="M40" s="9" t="str">
        <f t="shared" si="52"/>
        <v/>
      </c>
      <c r="N40" s="32" t="str">
        <f t="shared" si="50"/>
        <v/>
      </c>
      <c r="O40" s="32" t="str">
        <f t="shared" si="38"/>
        <v/>
      </c>
      <c r="P40">
        <v>16</v>
      </c>
      <c r="Q40" s="9" t="str">
        <f t="shared" si="51"/>
        <v/>
      </c>
      <c r="R40" s="200" t="str">
        <f t="shared" si="7"/>
        <v/>
      </c>
      <c r="S40" s="56" t="str">
        <f t="shared" si="54"/>
        <v/>
      </c>
      <c r="T40" s="87" t="e">
        <f t="shared" si="39"/>
        <v>#N/A</v>
      </c>
      <c r="U40" s="33" t="e">
        <f t="shared" si="53"/>
        <v>#N/A</v>
      </c>
      <c r="V40" s="89" t="e">
        <f t="shared" si="40"/>
        <v>#N/A</v>
      </c>
      <c r="W40" s="84" t="e">
        <f t="shared" si="41"/>
        <v>#N/A</v>
      </c>
      <c r="X40" s="91" t="str">
        <f t="shared" si="10"/>
        <v/>
      </c>
      <c r="Y40" s="56" t="str">
        <f t="shared" si="11"/>
        <v/>
      </c>
      <c r="Z40" s="9" t="str">
        <f t="shared" si="12"/>
        <v/>
      </c>
      <c r="AA40" s="43" t="str">
        <f t="shared" si="13"/>
        <v/>
      </c>
      <c r="AB40" s="98" t="str">
        <f t="shared" si="42"/>
        <v/>
      </c>
      <c r="AC40" s="9" t="str">
        <f t="shared" si="14"/>
        <v/>
      </c>
      <c r="AD40" s="43" t="str">
        <f t="shared" si="15"/>
        <v/>
      </c>
      <c r="AE40" s="97" t="str">
        <f t="shared" si="16"/>
        <v/>
      </c>
      <c r="AF40" s="19" t="str">
        <f t="shared" si="17"/>
        <v/>
      </c>
      <c r="AG40" s="19" t="str">
        <f t="shared" si="18"/>
        <v/>
      </c>
      <c r="AH40" s="19" t="str">
        <f t="shared" si="19"/>
        <v/>
      </c>
      <c r="AI40" s="43" t="str">
        <f t="shared" si="20"/>
        <v/>
      </c>
      <c r="AJ40" s="98" t="str">
        <f t="shared" si="21"/>
        <v/>
      </c>
      <c r="AK40" s="9" t="str">
        <f t="shared" si="22"/>
        <v/>
      </c>
      <c r="AL40" s="9" t="str">
        <f t="shared" si="23"/>
        <v/>
      </c>
      <c r="AM40" s="9" t="str">
        <f t="shared" si="24"/>
        <v/>
      </c>
      <c r="AN40" s="51" t="str">
        <f t="shared" si="25"/>
        <v/>
      </c>
      <c r="AO40" s="98" t="str">
        <f t="shared" si="0"/>
        <v/>
      </c>
      <c r="AP40" s="103" t="str">
        <f t="shared" si="1"/>
        <v/>
      </c>
      <c r="AQ40" s="98" t="str">
        <f t="shared" si="26"/>
        <v/>
      </c>
      <c r="AR40" s="9" t="str">
        <f t="shared" si="27"/>
        <v/>
      </c>
      <c r="AS40" s="19" t="str">
        <f t="shared" si="28"/>
        <v/>
      </c>
      <c r="AT40" s="9" t="str">
        <f t="shared" si="29"/>
        <v/>
      </c>
      <c r="AU40" s="84" t="str">
        <f t="shared" si="30"/>
        <v/>
      </c>
      <c r="AV40" s="106" t="str">
        <f t="shared" si="2"/>
        <v/>
      </c>
      <c r="AW40" s="112" t="str">
        <f t="shared" si="31"/>
        <v/>
      </c>
      <c r="AX40" s="107" t="str">
        <f t="shared" si="32"/>
        <v/>
      </c>
      <c r="AY40" s="108" t="str">
        <f t="shared" si="33"/>
        <v/>
      </c>
      <c r="AZ40" s="56" t="str">
        <f t="shared" si="34"/>
        <v/>
      </c>
      <c r="BA40" s="51" t="str">
        <f t="shared" si="43"/>
        <v/>
      </c>
      <c r="BC40" s="61" t="str">
        <f t="shared" si="44"/>
        <v/>
      </c>
      <c r="BD40" s="56">
        <f t="shared" si="45"/>
        <v>95</v>
      </c>
      <c r="BE40" s="32">
        <f t="shared" si="46"/>
        <v>-11.333333333333336</v>
      </c>
      <c r="BH40" s="32">
        <f t="shared" si="47"/>
        <v>95</v>
      </c>
      <c r="BI40">
        <f t="shared" si="48"/>
        <v>42.72711060665096</v>
      </c>
    </row>
    <row r="41" spans="1:61">
      <c r="A41" s="42">
        <v>17</v>
      </c>
      <c r="B41" s="33">
        <f t="shared" si="35"/>
        <v>-140</v>
      </c>
      <c r="C41" s="77">
        <f t="shared" si="3"/>
        <v>-140</v>
      </c>
      <c r="D41" s="33" t="str">
        <f t="shared" si="4"/>
        <v/>
      </c>
      <c r="E41" s="43"/>
      <c r="F41" s="42">
        <v>17</v>
      </c>
      <c r="G41" s="9">
        <f t="shared" si="5"/>
        <v>160.50000000000003</v>
      </c>
      <c r="H41" s="9" t="str">
        <f t="shared" si="36"/>
        <v/>
      </c>
      <c r="I41" s="72" t="str">
        <f t="shared" si="37"/>
        <v/>
      </c>
      <c r="J41" s="84" t="str">
        <f t="shared" si="6"/>
        <v/>
      </c>
      <c r="K41" s="81">
        <v>17</v>
      </c>
      <c r="L41" s="9" t="str">
        <f t="shared" si="49"/>
        <v/>
      </c>
      <c r="M41" s="9" t="str">
        <f t="shared" si="52"/>
        <v/>
      </c>
      <c r="N41" s="32" t="str">
        <f t="shared" si="50"/>
        <v/>
      </c>
      <c r="O41" s="32" t="str">
        <f t="shared" si="38"/>
        <v/>
      </c>
      <c r="P41">
        <v>17</v>
      </c>
      <c r="Q41" s="9" t="str">
        <f t="shared" si="51"/>
        <v/>
      </c>
      <c r="R41" s="200" t="str">
        <f t="shared" si="7"/>
        <v/>
      </c>
      <c r="S41" s="56" t="str">
        <f t="shared" si="54"/>
        <v/>
      </c>
      <c r="T41" s="87" t="e">
        <f t="shared" si="39"/>
        <v>#N/A</v>
      </c>
      <c r="U41" s="33" t="e">
        <f t="shared" si="53"/>
        <v>#N/A</v>
      </c>
      <c r="V41" s="89" t="e">
        <f t="shared" si="40"/>
        <v>#N/A</v>
      </c>
      <c r="W41" s="84" t="e">
        <f t="shared" si="41"/>
        <v>#N/A</v>
      </c>
      <c r="X41" s="91" t="str">
        <f t="shared" si="10"/>
        <v/>
      </c>
      <c r="Y41" s="56" t="str">
        <f t="shared" si="11"/>
        <v/>
      </c>
      <c r="Z41" s="9" t="str">
        <f t="shared" si="12"/>
        <v/>
      </c>
      <c r="AA41" s="43" t="str">
        <f t="shared" si="13"/>
        <v/>
      </c>
      <c r="AB41" s="98" t="str">
        <f t="shared" si="42"/>
        <v/>
      </c>
      <c r="AC41" s="9" t="str">
        <f t="shared" si="14"/>
        <v/>
      </c>
      <c r="AD41" s="43" t="str">
        <f t="shared" si="15"/>
        <v/>
      </c>
      <c r="AE41" s="97" t="str">
        <f t="shared" si="16"/>
        <v/>
      </c>
      <c r="AF41" s="19" t="str">
        <f t="shared" si="17"/>
        <v/>
      </c>
      <c r="AG41" s="19" t="str">
        <f t="shared" si="18"/>
        <v/>
      </c>
      <c r="AH41" s="19" t="str">
        <f t="shared" si="19"/>
        <v/>
      </c>
      <c r="AI41" s="43" t="str">
        <f t="shared" si="20"/>
        <v/>
      </c>
      <c r="AJ41" s="98" t="str">
        <f t="shared" si="21"/>
        <v/>
      </c>
      <c r="AK41" s="9" t="str">
        <f t="shared" si="22"/>
        <v/>
      </c>
      <c r="AL41" s="9" t="str">
        <f t="shared" si="23"/>
        <v/>
      </c>
      <c r="AM41" s="9" t="str">
        <f t="shared" si="24"/>
        <v/>
      </c>
      <c r="AN41" s="51" t="str">
        <f t="shared" si="25"/>
        <v/>
      </c>
      <c r="AO41" s="98" t="str">
        <f t="shared" si="0"/>
        <v/>
      </c>
      <c r="AP41" s="103" t="str">
        <f t="shared" si="1"/>
        <v/>
      </c>
      <c r="AQ41" s="98" t="str">
        <f t="shared" si="26"/>
        <v/>
      </c>
      <c r="AR41" s="9" t="str">
        <f t="shared" si="27"/>
        <v/>
      </c>
      <c r="AS41" s="19" t="str">
        <f t="shared" si="28"/>
        <v/>
      </c>
      <c r="AT41" s="9" t="str">
        <f t="shared" si="29"/>
        <v/>
      </c>
      <c r="AU41" s="84" t="str">
        <f t="shared" si="30"/>
        <v/>
      </c>
      <c r="AV41" s="106" t="str">
        <f t="shared" si="2"/>
        <v/>
      </c>
      <c r="AW41" s="112" t="str">
        <f t="shared" si="31"/>
        <v/>
      </c>
      <c r="AX41" s="107" t="str">
        <f t="shared" si="32"/>
        <v/>
      </c>
      <c r="AY41" s="108" t="str">
        <f t="shared" si="33"/>
        <v/>
      </c>
      <c r="AZ41" s="56" t="str">
        <f t="shared" si="34"/>
        <v/>
      </c>
      <c r="BA41" s="51" t="str">
        <f t="shared" si="43"/>
        <v/>
      </c>
      <c r="BC41" s="61" t="str">
        <f t="shared" si="44"/>
        <v/>
      </c>
      <c r="BD41" s="56">
        <f t="shared" si="45"/>
        <v>95</v>
      </c>
      <c r="BE41" s="32">
        <f t="shared" ref="BE41:BE46" si="55">IF(Z40="",BE40,Z40+BE40)</f>
        <v>-11.333333333333336</v>
      </c>
      <c r="BH41" s="32">
        <f t="shared" si="47"/>
        <v>95</v>
      </c>
      <c r="BI41">
        <f t="shared" si="48"/>
        <v>42.72711060665096</v>
      </c>
    </row>
    <row r="42" spans="1:61">
      <c r="A42" s="42">
        <v>18</v>
      </c>
      <c r="B42" s="33">
        <f t="shared" si="35"/>
        <v>-135</v>
      </c>
      <c r="C42" s="77">
        <f t="shared" si="3"/>
        <v>-135</v>
      </c>
      <c r="D42" s="33" t="str">
        <f t="shared" si="4"/>
        <v/>
      </c>
      <c r="E42" s="43"/>
      <c r="F42" s="42">
        <v>18</v>
      </c>
      <c r="G42" s="9">
        <f t="shared" si="5"/>
        <v>-175.74999999999997</v>
      </c>
      <c r="H42" s="9" t="str">
        <f t="shared" si="36"/>
        <v/>
      </c>
      <c r="I42" s="72" t="str">
        <f t="shared" si="37"/>
        <v/>
      </c>
      <c r="J42" s="84" t="str">
        <f t="shared" si="6"/>
        <v/>
      </c>
      <c r="K42" s="81">
        <v>18</v>
      </c>
      <c r="L42" s="9" t="str">
        <f t="shared" si="49"/>
        <v/>
      </c>
      <c r="M42" s="9" t="str">
        <f t="shared" si="52"/>
        <v/>
      </c>
      <c r="N42" s="32" t="str">
        <f t="shared" si="50"/>
        <v/>
      </c>
      <c r="O42" s="32" t="str">
        <f t="shared" si="38"/>
        <v/>
      </c>
      <c r="P42">
        <v>18</v>
      </c>
      <c r="Q42" s="9" t="str">
        <f t="shared" si="51"/>
        <v/>
      </c>
      <c r="R42" s="200" t="str">
        <f t="shared" si="7"/>
        <v/>
      </c>
      <c r="S42" s="56" t="str">
        <f t="shared" si="54"/>
        <v/>
      </c>
      <c r="T42" s="87" t="e">
        <f t="shared" si="39"/>
        <v>#N/A</v>
      </c>
      <c r="U42" s="33" t="e">
        <f t="shared" si="53"/>
        <v>#N/A</v>
      </c>
      <c r="V42" s="89" t="e">
        <f t="shared" si="40"/>
        <v>#N/A</v>
      </c>
      <c r="W42" s="84" t="e">
        <f t="shared" si="41"/>
        <v>#N/A</v>
      </c>
      <c r="X42" s="91" t="str">
        <f t="shared" si="10"/>
        <v/>
      </c>
      <c r="Y42" s="56" t="str">
        <f t="shared" si="11"/>
        <v/>
      </c>
      <c r="Z42" s="9" t="str">
        <f t="shared" si="12"/>
        <v/>
      </c>
      <c r="AA42" s="43" t="str">
        <f t="shared" si="13"/>
        <v/>
      </c>
      <c r="AB42" s="98" t="str">
        <f t="shared" si="42"/>
        <v/>
      </c>
      <c r="AC42" s="9" t="str">
        <f t="shared" si="14"/>
        <v/>
      </c>
      <c r="AD42" s="43" t="str">
        <f t="shared" si="15"/>
        <v/>
      </c>
      <c r="AE42" s="97" t="str">
        <f t="shared" si="16"/>
        <v/>
      </c>
      <c r="AF42" s="19" t="str">
        <f t="shared" si="17"/>
        <v/>
      </c>
      <c r="AG42" s="19" t="str">
        <f t="shared" si="18"/>
        <v/>
      </c>
      <c r="AH42" s="19" t="str">
        <f t="shared" si="19"/>
        <v/>
      </c>
      <c r="AI42" s="43" t="str">
        <f t="shared" si="20"/>
        <v/>
      </c>
      <c r="AJ42" s="98" t="str">
        <f t="shared" si="21"/>
        <v/>
      </c>
      <c r="AK42" s="9" t="str">
        <f t="shared" si="22"/>
        <v/>
      </c>
      <c r="AL42" s="9" t="str">
        <f t="shared" si="23"/>
        <v/>
      </c>
      <c r="AM42" s="9" t="str">
        <f t="shared" si="24"/>
        <v/>
      </c>
      <c r="AN42" s="51" t="str">
        <f t="shared" si="25"/>
        <v/>
      </c>
      <c r="AO42" s="98" t="str">
        <f t="shared" si="0"/>
        <v/>
      </c>
      <c r="AP42" s="103" t="str">
        <f t="shared" si="1"/>
        <v/>
      </c>
      <c r="AQ42" s="98" t="str">
        <f t="shared" si="26"/>
        <v/>
      </c>
      <c r="AR42" s="9" t="str">
        <f t="shared" si="27"/>
        <v/>
      </c>
      <c r="AS42" s="19" t="str">
        <f t="shared" si="28"/>
        <v/>
      </c>
      <c r="AT42" s="9" t="str">
        <f t="shared" si="29"/>
        <v/>
      </c>
      <c r="AU42" s="84" t="str">
        <f t="shared" si="30"/>
        <v/>
      </c>
      <c r="AV42" s="106" t="str">
        <f t="shared" si="2"/>
        <v/>
      </c>
      <c r="AW42" s="112" t="str">
        <f t="shared" si="31"/>
        <v/>
      </c>
      <c r="AX42" s="107" t="str">
        <f t="shared" si="32"/>
        <v/>
      </c>
      <c r="AY42" s="108" t="str">
        <f t="shared" si="33"/>
        <v/>
      </c>
      <c r="AZ42" s="56" t="str">
        <f t="shared" si="34"/>
        <v/>
      </c>
      <c r="BA42" s="51" t="str">
        <f t="shared" si="43"/>
        <v/>
      </c>
      <c r="BC42" s="61" t="str">
        <f t="shared" si="44"/>
        <v/>
      </c>
      <c r="BD42" s="56">
        <f t="shared" si="45"/>
        <v>95</v>
      </c>
      <c r="BE42" s="32">
        <f t="shared" si="55"/>
        <v>-11.333333333333336</v>
      </c>
      <c r="BH42" s="32">
        <f t="shared" si="47"/>
        <v>95</v>
      </c>
      <c r="BI42">
        <f t="shared" si="48"/>
        <v>42.72711060665096</v>
      </c>
    </row>
    <row r="43" spans="1:61">
      <c r="A43" s="42">
        <v>19</v>
      </c>
      <c r="B43" s="33">
        <f t="shared" si="35"/>
        <v>-130</v>
      </c>
      <c r="C43" s="77">
        <f t="shared" si="3"/>
        <v>-130</v>
      </c>
      <c r="D43" s="33" t="str">
        <f t="shared" si="4"/>
        <v/>
      </c>
      <c r="E43" s="43"/>
      <c r="F43" s="42">
        <v>19</v>
      </c>
      <c r="G43" s="9">
        <f t="shared" si="5"/>
        <v>-151.99999999999997</v>
      </c>
      <c r="H43" s="9" t="str">
        <f t="shared" si="36"/>
        <v/>
      </c>
      <c r="I43" s="72" t="str">
        <f t="shared" si="37"/>
        <v/>
      </c>
      <c r="J43" s="84" t="str">
        <f t="shared" si="6"/>
        <v/>
      </c>
      <c r="K43" s="81">
        <v>19</v>
      </c>
      <c r="L43" s="9" t="str">
        <f t="shared" si="49"/>
        <v/>
      </c>
      <c r="M43" s="9" t="str">
        <f t="shared" si="52"/>
        <v/>
      </c>
      <c r="N43" s="32" t="str">
        <f t="shared" si="50"/>
        <v/>
      </c>
      <c r="O43" s="32" t="str">
        <f t="shared" si="38"/>
        <v/>
      </c>
      <c r="P43">
        <v>19</v>
      </c>
      <c r="Q43" s="9" t="str">
        <f t="shared" si="51"/>
        <v/>
      </c>
      <c r="R43" s="200" t="str">
        <f t="shared" si="7"/>
        <v/>
      </c>
      <c r="S43" s="56" t="str">
        <f t="shared" si="54"/>
        <v/>
      </c>
      <c r="T43" s="87" t="e">
        <f t="shared" si="39"/>
        <v>#N/A</v>
      </c>
      <c r="U43" s="33" t="e">
        <f t="shared" si="53"/>
        <v>#N/A</v>
      </c>
      <c r="V43" s="89" t="e">
        <f t="shared" si="40"/>
        <v>#N/A</v>
      </c>
      <c r="W43" s="84" t="e">
        <f t="shared" si="41"/>
        <v>#N/A</v>
      </c>
      <c r="X43" s="91" t="str">
        <f t="shared" si="10"/>
        <v/>
      </c>
      <c r="Y43" s="56" t="str">
        <f t="shared" si="11"/>
        <v/>
      </c>
      <c r="Z43" s="9" t="str">
        <f t="shared" si="12"/>
        <v/>
      </c>
      <c r="AA43" s="43" t="str">
        <f t="shared" si="13"/>
        <v/>
      </c>
      <c r="AB43" s="98" t="str">
        <f t="shared" si="42"/>
        <v/>
      </c>
      <c r="AC43" s="9" t="str">
        <f t="shared" si="14"/>
        <v/>
      </c>
      <c r="AD43" s="43" t="str">
        <f t="shared" si="15"/>
        <v/>
      </c>
      <c r="AE43" s="97" t="str">
        <f t="shared" si="16"/>
        <v/>
      </c>
      <c r="AF43" s="19" t="str">
        <f t="shared" si="17"/>
        <v/>
      </c>
      <c r="AG43" s="19" t="str">
        <f t="shared" si="18"/>
        <v/>
      </c>
      <c r="AH43" s="19" t="str">
        <f t="shared" si="19"/>
        <v/>
      </c>
      <c r="AI43" s="43" t="str">
        <f t="shared" si="20"/>
        <v/>
      </c>
      <c r="AJ43" s="98" t="str">
        <f t="shared" si="21"/>
        <v/>
      </c>
      <c r="AK43" s="9" t="str">
        <f t="shared" si="22"/>
        <v/>
      </c>
      <c r="AL43" s="9" t="str">
        <f t="shared" si="23"/>
        <v/>
      </c>
      <c r="AM43" s="9" t="str">
        <f t="shared" si="24"/>
        <v/>
      </c>
      <c r="AN43" s="51" t="str">
        <f t="shared" si="25"/>
        <v/>
      </c>
      <c r="AO43" s="98" t="str">
        <f t="shared" si="0"/>
        <v/>
      </c>
      <c r="AP43" s="103" t="str">
        <f t="shared" si="1"/>
        <v/>
      </c>
      <c r="AQ43" s="98" t="str">
        <f t="shared" si="26"/>
        <v/>
      </c>
      <c r="AR43" s="9" t="str">
        <f t="shared" si="27"/>
        <v/>
      </c>
      <c r="AS43" s="19" t="str">
        <f t="shared" si="28"/>
        <v/>
      </c>
      <c r="AT43" s="9" t="str">
        <f t="shared" si="29"/>
        <v/>
      </c>
      <c r="AU43" s="84" t="str">
        <f t="shared" si="30"/>
        <v/>
      </c>
      <c r="AV43" s="106" t="str">
        <f t="shared" si="2"/>
        <v/>
      </c>
      <c r="AW43" s="112" t="str">
        <f t="shared" si="31"/>
        <v/>
      </c>
      <c r="AX43" s="107" t="str">
        <f t="shared" si="32"/>
        <v/>
      </c>
      <c r="AY43" s="108" t="str">
        <f t="shared" si="33"/>
        <v/>
      </c>
      <c r="AZ43" s="56" t="str">
        <f t="shared" si="34"/>
        <v/>
      </c>
      <c r="BA43" s="51" t="str">
        <f t="shared" si="43"/>
        <v/>
      </c>
      <c r="BC43" s="61" t="str">
        <f t="shared" si="44"/>
        <v/>
      </c>
      <c r="BD43" s="56">
        <f t="shared" ref="BD43:BD46" si="56">IF(AA42="",BD42,BD42+AA42)</f>
        <v>95</v>
      </c>
      <c r="BE43" s="32">
        <f t="shared" si="55"/>
        <v>-11.333333333333336</v>
      </c>
      <c r="BH43" s="32">
        <f t="shared" si="47"/>
        <v>95</v>
      </c>
      <c r="BI43">
        <f t="shared" si="48"/>
        <v>42.72711060665096</v>
      </c>
    </row>
    <row r="44" spans="1:61">
      <c r="A44" s="42">
        <v>20</v>
      </c>
      <c r="B44" s="33">
        <f t="shared" si="35"/>
        <v>-125</v>
      </c>
      <c r="C44" s="77">
        <f t="shared" si="3"/>
        <v>-125</v>
      </c>
      <c r="D44" s="33" t="str">
        <f t="shared" si="4"/>
        <v/>
      </c>
      <c r="E44" s="43"/>
      <c r="F44" s="42">
        <v>20</v>
      </c>
      <c r="G44" s="9">
        <f t="shared" si="5"/>
        <v>-128.24999999999997</v>
      </c>
      <c r="H44" s="9" t="str">
        <f t="shared" si="36"/>
        <v/>
      </c>
      <c r="I44" s="72" t="str">
        <f t="shared" si="37"/>
        <v/>
      </c>
      <c r="J44" s="84" t="str">
        <f t="shared" si="6"/>
        <v/>
      </c>
      <c r="K44" s="81">
        <v>20</v>
      </c>
      <c r="L44" s="9" t="str">
        <f t="shared" si="49"/>
        <v/>
      </c>
      <c r="M44" s="9" t="str">
        <f t="shared" si="52"/>
        <v/>
      </c>
      <c r="N44" s="32" t="str">
        <f t="shared" si="50"/>
        <v/>
      </c>
      <c r="O44" s="32" t="str">
        <f t="shared" si="38"/>
        <v/>
      </c>
      <c r="P44">
        <v>20</v>
      </c>
      <c r="Q44" s="9" t="str">
        <f t="shared" si="51"/>
        <v/>
      </c>
      <c r="R44" s="200" t="str">
        <f t="shared" si="7"/>
        <v/>
      </c>
      <c r="S44" s="56" t="str">
        <f t="shared" si="54"/>
        <v/>
      </c>
      <c r="T44" s="87" t="e">
        <f t="shared" si="39"/>
        <v>#N/A</v>
      </c>
      <c r="U44" s="33" t="e">
        <f t="shared" si="53"/>
        <v>#N/A</v>
      </c>
      <c r="V44" s="89" t="e">
        <f t="shared" si="40"/>
        <v>#N/A</v>
      </c>
      <c r="W44" s="84" t="e">
        <f t="shared" si="41"/>
        <v>#N/A</v>
      </c>
      <c r="X44" s="91" t="str">
        <f t="shared" si="10"/>
        <v/>
      </c>
      <c r="Y44" s="56" t="str">
        <f t="shared" si="11"/>
        <v/>
      </c>
      <c r="Z44" s="9" t="str">
        <f t="shared" si="12"/>
        <v/>
      </c>
      <c r="AA44" s="43" t="str">
        <f t="shared" si="13"/>
        <v/>
      </c>
      <c r="AB44" s="98" t="str">
        <f t="shared" si="42"/>
        <v/>
      </c>
      <c r="AC44" s="9" t="str">
        <f t="shared" si="14"/>
        <v/>
      </c>
      <c r="AD44" s="43" t="str">
        <f t="shared" si="15"/>
        <v/>
      </c>
      <c r="AE44" s="97" t="str">
        <f t="shared" si="16"/>
        <v/>
      </c>
      <c r="AF44" s="19" t="str">
        <f t="shared" si="17"/>
        <v/>
      </c>
      <c r="AG44" s="19" t="str">
        <f t="shared" si="18"/>
        <v/>
      </c>
      <c r="AH44" s="19" t="str">
        <f t="shared" si="19"/>
        <v/>
      </c>
      <c r="AI44" s="43" t="str">
        <f t="shared" si="20"/>
        <v/>
      </c>
      <c r="AJ44" s="98" t="str">
        <f t="shared" si="21"/>
        <v/>
      </c>
      <c r="AK44" s="9" t="str">
        <f t="shared" si="22"/>
        <v/>
      </c>
      <c r="AL44" s="9" t="str">
        <f t="shared" si="23"/>
        <v/>
      </c>
      <c r="AM44" s="9" t="str">
        <f t="shared" si="24"/>
        <v/>
      </c>
      <c r="AN44" s="51" t="str">
        <f t="shared" si="25"/>
        <v/>
      </c>
      <c r="AO44" s="98" t="str">
        <f t="shared" si="0"/>
        <v/>
      </c>
      <c r="AP44" s="103" t="str">
        <f t="shared" si="1"/>
        <v/>
      </c>
      <c r="AQ44" s="98" t="str">
        <f t="shared" si="26"/>
        <v/>
      </c>
      <c r="AR44" s="9" t="str">
        <f t="shared" si="27"/>
        <v/>
      </c>
      <c r="AS44" s="19" t="str">
        <f t="shared" si="28"/>
        <v/>
      </c>
      <c r="AT44" s="9" t="str">
        <f t="shared" si="29"/>
        <v/>
      </c>
      <c r="AU44" s="84" t="str">
        <f t="shared" si="30"/>
        <v/>
      </c>
      <c r="AV44" s="106" t="str">
        <f t="shared" si="2"/>
        <v/>
      </c>
      <c r="AW44" s="112" t="str">
        <f t="shared" si="31"/>
        <v/>
      </c>
      <c r="AX44" s="107" t="str">
        <f t="shared" si="32"/>
        <v/>
      </c>
      <c r="AY44" s="108" t="str">
        <f t="shared" si="33"/>
        <v/>
      </c>
      <c r="AZ44" s="56" t="str">
        <f t="shared" si="34"/>
        <v/>
      </c>
      <c r="BA44" s="51" t="str">
        <f t="shared" si="43"/>
        <v/>
      </c>
      <c r="BC44" s="61" t="str">
        <f t="shared" si="44"/>
        <v/>
      </c>
      <c r="BD44" s="56">
        <f t="shared" si="56"/>
        <v>95</v>
      </c>
      <c r="BE44" s="32">
        <f t="shared" si="55"/>
        <v>-11.333333333333336</v>
      </c>
      <c r="BH44" s="32">
        <f t="shared" si="47"/>
        <v>95</v>
      </c>
      <c r="BI44">
        <f t="shared" si="48"/>
        <v>42.72711060665096</v>
      </c>
    </row>
    <row r="45" spans="1:61">
      <c r="A45" s="42">
        <v>21</v>
      </c>
      <c r="B45" s="33">
        <f t="shared" si="35"/>
        <v>-120</v>
      </c>
      <c r="C45" s="77">
        <f t="shared" si="3"/>
        <v>-124.5</v>
      </c>
      <c r="D45" s="33" t="str">
        <f t="shared" si="4"/>
        <v/>
      </c>
      <c r="E45" s="43"/>
      <c r="F45" s="42">
        <v>21</v>
      </c>
      <c r="G45" s="9">
        <f t="shared" si="5"/>
        <v>-104.49999999999997</v>
      </c>
      <c r="H45" s="9" t="str">
        <f t="shared" si="36"/>
        <v/>
      </c>
      <c r="I45" s="72" t="str">
        <f t="shared" si="37"/>
        <v/>
      </c>
      <c r="J45" s="84" t="str">
        <f t="shared" si="6"/>
        <v/>
      </c>
      <c r="K45" s="81">
        <v>21</v>
      </c>
      <c r="L45" s="9" t="str">
        <f t="shared" si="49"/>
        <v/>
      </c>
      <c r="M45" s="9" t="str">
        <f t="shared" si="52"/>
        <v/>
      </c>
      <c r="N45" s="32" t="str">
        <f t="shared" si="50"/>
        <v/>
      </c>
      <c r="O45" s="32" t="str">
        <f t="shared" si="38"/>
        <v/>
      </c>
      <c r="P45">
        <v>21</v>
      </c>
      <c r="Q45" s="9" t="str">
        <f t="shared" si="51"/>
        <v/>
      </c>
      <c r="R45" s="200" t="str">
        <f t="shared" si="7"/>
        <v/>
      </c>
      <c r="S45" s="56" t="str">
        <f t="shared" si="54"/>
        <v/>
      </c>
      <c r="T45" s="87" t="e">
        <f t="shared" si="39"/>
        <v>#N/A</v>
      </c>
      <c r="U45" s="33" t="e">
        <f t="shared" si="53"/>
        <v>#N/A</v>
      </c>
      <c r="V45" s="89" t="e">
        <f t="shared" si="40"/>
        <v>#N/A</v>
      </c>
      <c r="W45" s="84" t="e">
        <f t="shared" si="41"/>
        <v>#N/A</v>
      </c>
      <c r="X45" s="91" t="str">
        <f t="shared" si="10"/>
        <v/>
      </c>
      <c r="Y45" s="56" t="str">
        <f t="shared" si="11"/>
        <v/>
      </c>
      <c r="Z45" s="9" t="str">
        <f t="shared" si="12"/>
        <v/>
      </c>
      <c r="AA45" s="43" t="str">
        <f t="shared" si="13"/>
        <v/>
      </c>
      <c r="AB45" s="98" t="str">
        <f t="shared" si="42"/>
        <v/>
      </c>
      <c r="AC45" s="9" t="str">
        <f t="shared" si="14"/>
        <v/>
      </c>
      <c r="AD45" s="43" t="str">
        <f t="shared" si="15"/>
        <v/>
      </c>
      <c r="AE45" s="97" t="str">
        <f t="shared" si="16"/>
        <v/>
      </c>
      <c r="AF45" s="19" t="str">
        <f t="shared" si="17"/>
        <v/>
      </c>
      <c r="AG45" s="19" t="str">
        <f t="shared" si="18"/>
        <v/>
      </c>
      <c r="AH45" s="19" t="str">
        <f t="shared" si="19"/>
        <v/>
      </c>
      <c r="AI45" s="43" t="str">
        <f t="shared" si="20"/>
        <v/>
      </c>
      <c r="AJ45" s="98" t="str">
        <f t="shared" si="21"/>
        <v/>
      </c>
      <c r="AK45" s="9" t="str">
        <f t="shared" si="22"/>
        <v/>
      </c>
      <c r="AL45" s="9" t="str">
        <f t="shared" si="23"/>
        <v/>
      </c>
      <c r="AM45" s="9" t="str">
        <f t="shared" si="24"/>
        <v/>
      </c>
      <c r="AN45" s="51" t="str">
        <f t="shared" si="25"/>
        <v/>
      </c>
      <c r="AO45" s="98" t="str">
        <f t="shared" si="0"/>
        <v/>
      </c>
      <c r="AP45" s="103" t="str">
        <f t="shared" si="1"/>
        <v/>
      </c>
      <c r="AQ45" s="98" t="str">
        <f t="shared" si="26"/>
        <v/>
      </c>
      <c r="AR45" s="9" t="str">
        <f t="shared" si="27"/>
        <v/>
      </c>
      <c r="AS45" s="19" t="str">
        <f t="shared" si="28"/>
        <v/>
      </c>
      <c r="AT45" s="9" t="str">
        <f t="shared" si="29"/>
        <v/>
      </c>
      <c r="AU45" s="84" t="str">
        <f t="shared" si="30"/>
        <v/>
      </c>
      <c r="AV45" s="106" t="str">
        <f t="shared" si="2"/>
        <v/>
      </c>
      <c r="AW45" s="112" t="str">
        <f t="shared" si="31"/>
        <v/>
      </c>
      <c r="AX45" s="107" t="str">
        <f t="shared" si="32"/>
        <v/>
      </c>
      <c r="AY45" s="108" t="str">
        <f t="shared" si="33"/>
        <v/>
      </c>
      <c r="AZ45" s="56" t="str">
        <f t="shared" si="34"/>
        <v/>
      </c>
      <c r="BA45" s="51" t="str">
        <f t="shared" si="43"/>
        <v/>
      </c>
      <c r="BC45" s="61" t="str">
        <f t="shared" si="44"/>
        <v/>
      </c>
      <c r="BD45" s="56">
        <f t="shared" si="56"/>
        <v>95</v>
      </c>
      <c r="BE45" s="32">
        <f t="shared" si="55"/>
        <v>-11.333333333333336</v>
      </c>
      <c r="BH45" s="32">
        <f t="shared" si="47"/>
        <v>95</v>
      </c>
      <c r="BI45">
        <f t="shared" si="48"/>
        <v>42.72711060665096</v>
      </c>
    </row>
    <row r="46" spans="1:61">
      <c r="A46" s="42">
        <v>22</v>
      </c>
      <c r="B46" s="33">
        <f t="shared" si="35"/>
        <v>-115</v>
      </c>
      <c r="C46" s="77" t="str">
        <f t="shared" si="3"/>
        <v/>
      </c>
      <c r="D46" s="33" t="str">
        <f t="shared" si="4"/>
        <v/>
      </c>
      <c r="E46" s="43"/>
      <c r="F46" s="42">
        <v>22</v>
      </c>
      <c r="G46" s="9">
        <f t="shared" si="5"/>
        <v>-80.749999999999972</v>
      </c>
      <c r="H46" s="9" t="str">
        <f t="shared" si="36"/>
        <v/>
      </c>
      <c r="I46" s="72" t="str">
        <f t="shared" si="37"/>
        <v/>
      </c>
      <c r="J46" s="84" t="str">
        <f t="shared" si="6"/>
        <v/>
      </c>
      <c r="K46" s="81">
        <v>22</v>
      </c>
      <c r="L46" s="9" t="str">
        <f t="shared" si="49"/>
        <v/>
      </c>
      <c r="M46" s="9" t="str">
        <f t="shared" si="52"/>
        <v/>
      </c>
      <c r="N46" s="32" t="str">
        <f t="shared" si="50"/>
        <v/>
      </c>
      <c r="O46" s="32" t="str">
        <f t="shared" si="38"/>
        <v/>
      </c>
      <c r="P46">
        <v>22</v>
      </c>
      <c r="Q46" s="9" t="str">
        <f t="shared" si="51"/>
        <v/>
      </c>
      <c r="R46" s="200" t="str">
        <f t="shared" si="7"/>
        <v/>
      </c>
      <c r="S46" s="56" t="str">
        <f t="shared" si="54"/>
        <v/>
      </c>
      <c r="T46" s="87" t="e">
        <f t="shared" si="39"/>
        <v>#N/A</v>
      </c>
      <c r="U46" s="33" t="e">
        <f t="shared" si="53"/>
        <v>#N/A</v>
      </c>
      <c r="V46" s="89" t="e">
        <f t="shared" si="40"/>
        <v>#N/A</v>
      </c>
      <c r="W46" s="84" t="e">
        <f t="shared" si="41"/>
        <v>#N/A</v>
      </c>
      <c r="X46" s="91" t="str">
        <f t="shared" si="10"/>
        <v/>
      </c>
      <c r="Y46" s="56" t="str">
        <f t="shared" si="11"/>
        <v/>
      </c>
      <c r="Z46" s="9" t="str">
        <f t="shared" si="12"/>
        <v/>
      </c>
      <c r="AA46" s="43" t="str">
        <f t="shared" si="13"/>
        <v/>
      </c>
      <c r="AB46" s="98" t="str">
        <f t="shared" si="42"/>
        <v/>
      </c>
      <c r="AC46" s="9" t="str">
        <f t="shared" si="14"/>
        <v/>
      </c>
      <c r="AD46" s="43" t="str">
        <f t="shared" si="15"/>
        <v/>
      </c>
      <c r="AE46" s="97" t="str">
        <f t="shared" si="16"/>
        <v/>
      </c>
      <c r="AF46" s="19" t="str">
        <f t="shared" si="17"/>
        <v/>
      </c>
      <c r="AG46" s="19" t="str">
        <f t="shared" si="18"/>
        <v/>
      </c>
      <c r="AH46" s="19" t="str">
        <f t="shared" si="19"/>
        <v/>
      </c>
      <c r="AI46" s="43" t="str">
        <f t="shared" si="20"/>
        <v/>
      </c>
      <c r="AJ46" s="98" t="str">
        <f t="shared" si="21"/>
        <v/>
      </c>
      <c r="AK46" s="9" t="str">
        <f t="shared" si="22"/>
        <v/>
      </c>
      <c r="AL46" s="9" t="str">
        <f t="shared" si="23"/>
        <v/>
      </c>
      <c r="AM46" s="9" t="str">
        <f t="shared" si="24"/>
        <v/>
      </c>
      <c r="AN46" s="51" t="str">
        <f t="shared" si="25"/>
        <v/>
      </c>
      <c r="AO46" s="98" t="str">
        <f t="shared" si="0"/>
        <v/>
      </c>
      <c r="AP46" s="103" t="str">
        <f t="shared" si="1"/>
        <v/>
      </c>
      <c r="AQ46" s="98" t="str">
        <f t="shared" si="26"/>
        <v/>
      </c>
      <c r="AR46" s="9" t="str">
        <f t="shared" si="27"/>
        <v/>
      </c>
      <c r="AS46" s="19" t="str">
        <f t="shared" si="28"/>
        <v/>
      </c>
      <c r="AT46" s="9" t="str">
        <f t="shared" si="29"/>
        <v/>
      </c>
      <c r="AU46" s="84" t="str">
        <f t="shared" si="30"/>
        <v/>
      </c>
      <c r="AV46" s="106" t="str">
        <f t="shared" si="2"/>
        <v/>
      </c>
      <c r="AW46" s="112" t="str">
        <f t="shared" si="31"/>
        <v/>
      </c>
      <c r="AX46" s="107" t="str">
        <f t="shared" si="32"/>
        <v/>
      </c>
      <c r="AY46" s="108" t="str">
        <f t="shared" si="33"/>
        <v/>
      </c>
      <c r="AZ46" s="56" t="str">
        <f t="shared" si="34"/>
        <v/>
      </c>
      <c r="BA46" s="51" t="str">
        <f t="shared" si="43"/>
        <v/>
      </c>
      <c r="BC46" s="61" t="str">
        <f t="shared" si="44"/>
        <v/>
      </c>
      <c r="BD46" s="56">
        <f t="shared" si="56"/>
        <v>95</v>
      </c>
      <c r="BE46" s="32">
        <f t="shared" si="55"/>
        <v>-11.333333333333336</v>
      </c>
      <c r="BH46" s="32">
        <f t="shared" si="47"/>
        <v>95</v>
      </c>
      <c r="BI46">
        <f t="shared" si="48"/>
        <v>42.72711060665096</v>
      </c>
    </row>
    <row r="47" spans="1:61">
      <c r="A47" s="42">
        <v>23</v>
      </c>
      <c r="B47" s="33">
        <f t="shared" si="35"/>
        <v>-110</v>
      </c>
      <c r="C47" s="77" t="str">
        <f t="shared" si="3"/>
        <v/>
      </c>
      <c r="D47" s="33" t="str">
        <f t="shared" si="4"/>
        <v/>
      </c>
      <c r="E47" s="43"/>
      <c r="F47" s="42">
        <v>23</v>
      </c>
      <c r="G47" s="9">
        <f t="shared" si="5"/>
        <v>-56.999999999999972</v>
      </c>
      <c r="H47" s="9" t="str">
        <f t="shared" si="36"/>
        <v/>
      </c>
      <c r="I47" s="72" t="str">
        <f t="shared" si="37"/>
        <v/>
      </c>
      <c r="J47" s="84" t="str">
        <f t="shared" si="6"/>
        <v/>
      </c>
      <c r="K47" s="81">
        <v>23</v>
      </c>
      <c r="L47" s="9" t="str">
        <f t="shared" si="49"/>
        <v/>
      </c>
      <c r="M47" s="9" t="str">
        <f t="shared" si="52"/>
        <v/>
      </c>
      <c r="N47" s="32" t="str">
        <f t="shared" si="50"/>
        <v/>
      </c>
      <c r="O47" s="32" t="str">
        <f t="shared" si="38"/>
        <v/>
      </c>
      <c r="P47">
        <v>23</v>
      </c>
      <c r="Q47" s="9" t="str">
        <f t="shared" si="51"/>
        <v/>
      </c>
      <c r="R47" s="200" t="str">
        <f t="shared" si="7"/>
        <v/>
      </c>
      <c r="S47" s="56" t="str">
        <f t="shared" si="54"/>
        <v/>
      </c>
      <c r="T47" s="87" t="e">
        <f t="shared" si="39"/>
        <v>#N/A</v>
      </c>
      <c r="U47" s="33" t="e">
        <f t="shared" si="53"/>
        <v>#N/A</v>
      </c>
      <c r="V47" s="89" t="e">
        <f t="shared" si="40"/>
        <v>#N/A</v>
      </c>
      <c r="W47" s="84" t="e">
        <f t="shared" si="41"/>
        <v>#N/A</v>
      </c>
      <c r="X47" s="91" t="str">
        <f t="shared" si="10"/>
        <v/>
      </c>
      <c r="Y47" s="56" t="str">
        <f t="shared" si="11"/>
        <v/>
      </c>
      <c r="Z47" s="9" t="str">
        <f t="shared" si="12"/>
        <v/>
      </c>
      <c r="AA47" s="43" t="str">
        <f t="shared" si="13"/>
        <v/>
      </c>
      <c r="AB47" s="98" t="str">
        <f t="shared" si="42"/>
        <v/>
      </c>
      <c r="AC47" s="9" t="str">
        <f t="shared" si="14"/>
        <v/>
      </c>
      <c r="AD47" s="43" t="str">
        <f t="shared" si="15"/>
        <v/>
      </c>
      <c r="AE47" s="97" t="str">
        <f t="shared" si="16"/>
        <v/>
      </c>
      <c r="AF47" s="19" t="str">
        <f t="shared" si="17"/>
        <v/>
      </c>
      <c r="AG47" s="19" t="str">
        <f t="shared" si="18"/>
        <v/>
      </c>
      <c r="AH47" s="19" t="str">
        <f t="shared" si="19"/>
        <v/>
      </c>
      <c r="AI47" s="43" t="str">
        <f t="shared" si="20"/>
        <v/>
      </c>
      <c r="AJ47" s="98" t="str">
        <f t="shared" si="21"/>
        <v/>
      </c>
      <c r="AK47" s="9" t="str">
        <f t="shared" si="22"/>
        <v/>
      </c>
      <c r="AL47" s="9" t="str">
        <f t="shared" si="23"/>
        <v/>
      </c>
      <c r="AM47" s="9" t="str">
        <f t="shared" si="24"/>
        <v/>
      </c>
      <c r="AN47" s="51" t="str">
        <f t="shared" si="25"/>
        <v/>
      </c>
      <c r="AO47" s="98" t="str">
        <f t="shared" si="0"/>
        <v/>
      </c>
      <c r="AP47" s="103" t="str">
        <f t="shared" si="1"/>
        <v/>
      </c>
      <c r="AQ47" s="98" t="str">
        <f t="shared" si="26"/>
        <v/>
      </c>
      <c r="AR47" s="9" t="str">
        <f t="shared" si="27"/>
        <v/>
      </c>
      <c r="AS47" s="19" t="str">
        <f t="shared" si="28"/>
        <v/>
      </c>
      <c r="AT47" s="9" t="str">
        <f t="shared" si="29"/>
        <v/>
      </c>
      <c r="AU47" s="84" t="str">
        <f t="shared" si="30"/>
        <v/>
      </c>
      <c r="AV47" s="106" t="str">
        <f t="shared" si="2"/>
        <v/>
      </c>
      <c r="AW47" s="112" t="str">
        <f t="shared" si="31"/>
        <v/>
      </c>
      <c r="AX47" s="107" t="str">
        <f t="shared" si="32"/>
        <v/>
      </c>
      <c r="AY47" s="108" t="str">
        <f t="shared" si="33"/>
        <v/>
      </c>
      <c r="AZ47" s="56" t="str">
        <f t="shared" si="34"/>
        <v/>
      </c>
      <c r="BA47" s="51" t="str">
        <f t="shared" si="43"/>
        <v/>
      </c>
      <c r="BC47" s="61" t="str">
        <f t="shared" si="44"/>
        <v/>
      </c>
      <c r="BD47" s="56">
        <f t="shared" ref="BD47:BD75" si="57">IF(AA46="",BD46,BD46+AA46)</f>
        <v>95</v>
      </c>
      <c r="BE47" s="32">
        <f t="shared" ref="BE47:BE75" si="58">IF(Z46="",BE46,Z46+BE46)</f>
        <v>-11.333333333333336</v>
      </c>
      <c r="BH47" s="32">
        <f t="shared" si="47"/>
        <v>95</v>
      </c>
      <c r="BI47">
        <f t="shared" si="48"/>
        <v>42.72711060665096</v>
      </c>
    </row>
    <row r="48" spans="1:61">
      <c r="A48" s="42">
        <v>24</v>
      </c>
      <c r="B48" s="33">
        <f t="shared" si="35"/>
        <v>-105</v>
      </c>
      <c r="C48" s="77" t="str">
        <f t="shared" si="3"/>
        <v/>
      </c>
      <c r="D48" s="33" t="str">
        <f t="shared" si="4"/>
        <v/>
      </c>
      <c r="E48" s="43"/>
      <c r="F48" s="42">
        <v>24</v>
      </c>
      <c r="G48" s="9">
        <f t="shared" si="5"/>
        <v>-33.249999999999972</v>
      </c>
      <c r="H48" s="9" t="str">
        <f t="shared" si="36"/>
        <v/>
      </c>
      <c r="I48" s="72" t="str">
        <f t="shared" ref="I48:I75" si="59">IF(H48="","",TRUNC(H48)*100+(H48-TRUNC(H48))*60)</f>
        <v/>
      </c>
      <c r="J48" s="84" t="str">
        <f t="shared" si="6"/>
        <v/>
      </c>
      <c r="K48" s="81">
        <v>24</v>
      </c>
      <c r="L48" s="9" t="str">
        <f t="shared" si="49"/>
        <v/>
      </c>
      <c r="M48" s="9" t="str">
        <f t="shared" si="52"/>
        <v/>
      </c>
      <c r="N48" s="32" t="str">
        <f t="shared" si="50"/>
        <v/>
      </c>
      <c r="O48" s="32" t="str">
        <f t="shared" si="38"/>
        <v/>
      </c>
      <c r="P48">
        <v>24</v>
      </c>
      <c r="Q48" s="9" t="str">
        <f t="shared" si="51"/>
        <v/>
      </c>
      <c r="R48" s="200" t="str">
        <f t="shared" si="7"/>
        <v/>
      </c>
      <c r="S48" s="56" t="str">
        <f t="shared" si="54"/>
        <v/>
      </c>
      <c r="T48" s="87" t="e">
        <f t="shared" si="39"/>
        <v>#N/A</v>
      </c>
      <c r="U48" s="33" t="e">
        <f t="shared" si="53"/>
        <v>#N/A</v>
      </c>
      <c r="V48" s="89" t="e">
        <f t="shared" si="40"/>
        <v>#N/A</v>
      </c>
      <c r="W48" s="84" t="e">
        <f t="shared" si="41"/>
        <v>#N/A</v>
      </c>
      <c r="X48" s="91" t="str">
        <f t="shared" si="10"/>
        <v/>
      </c>
      <c r="Y48" s="56" t="str">
        <f t="shared" si="11"/>
        <v/>
      </c>
      <c r="Z48" s="9" t="str">
        <f t="shared" si="12"/>
        <v/>
      </c>
      <c r="AA48" s="43" t="str">
        <f t="shared" si="13"/>
        <v/>
      </c>
      <c r="AB48" s="98" t="str">
        <f t="shared" si="42"/>
        <v/>
      </c>
      <c r="AC48" s="9" t="str">
        <f t="shared" si="14"/>
        <v/>
      </c>
      <c r="AD48" s="43" t="str">
        <f t="shared" si="15"/>
        <v/>
      </c>
      <c r="AE48" s="97" t="str">
        <f t="shared" si="16"/>
        <v/>
      </c>
      <c r="AF48" s="19" t="str">
        <f t="shared" si="17"/>
        <v/>
      </c>
      <c r="AG48" s="19" t="str">
        <f t="shared" si="18"/>
        <v/>
      </c>
      <c r="AH48" s="19" t="str">
        <f t="shared" si="19"/>
        <v/>
      </c>
      <c r="AI48" s="43" t="str">
        <f t="shared" si="20"/>
        <v/>
      </c>
      <c r="AJ48" s="98" t="str">
        <f t="shared" si="21"/>
        <v/>
      </c>
      <c r="AK48" s="9" t="str">
        <f t="shared" si="22"/>
        <v/>
      </c>
      <c r="AL48" s="9" t="str">
        <f t="shared" si="23"/>
        <v/>
      </c>
      <c r="AM48" s="9" t="str">
        <f t="shared" si="24"/>
        <v/>
      </c>
      <c r="AN48" s="51" t="str">
        <f t="shared" si="25"/>
        <v/>
      </c>
      <c r="AO48" s="98" t="str">
        <f t="shared" si="0"/>
        <v/>
      </c>
      <c r="AP48" s="103" t="str">
        <f t="shared" si="1"/>
        <v/>
      </c>
      <c r="AQ48" s="98" t="str">
        <f t="shared" si="26"/>
        <v/>
      </c>
      <c r="AR48" s="9" t="str">
        <f t="shared" si="27"/>
        <v/>
      </c>
      <c r="AS48" s="19" t="str">
        <f t="shared" si="28"/>
        <v/>
      </c>
      <c r="AT48" s="9" t="str">
        <f t="shared" si="29"/>
        <v/>
      </c>
      <c r="AU48" s="84" t="str">
        <f t="shared" si="30"/>
        <v/>
      </c>
      <c r="AV48" s="106" t="str">
        <f t="shared" si="2"/>
        <v/>
      </c>
      <c r="AW48" s="112" t="str">
        <f t="shared" si="31"/>
        <v/>
      </c>
      <c r="AX48" s="107" t="str">
        <f t="shared" si="32"/>
        <v/>
      </c>
      <c r="AY48" s="108" t="str">
        <f t="shared" si="33"/>
        <v/>
      </c>
      <c r="AZ48" s="56" t="str">
        <f t="shared" si="34"/>
        <v/>
      </c>
      <c r="BA48" s="51" t="str">
        <f t="shared" si="43"/>
        <v/>
      </c>
      <c r="BC48" s="61" t="str">
        <f t="shared" si="44"/>
        <v/>
      </c>
      <c r="BD48" s="56">
        <f t="shared" si="57"/>
        <v>95</v>
      </c>
      <c r="BE48" s="32">
        <f t="shared" si="58"/>
        <v>-11.333333333333336</v>
      </c>
      <c r="BH48" s="32">
        <f t="shared" si="47"/>
        <v>95</v>
      </c>
      <c r="BI48">
        <f t="shared" si="48"/>
        <v>42.72711060665096</v>
      </c>
    </row>
    <row r="49" spans="1:61">
      <c r="A49" s="42">
        <v>25</v>
      </c>
      <c r="B49" s="33">
        <f t="shared" si="35"/>
        <v>-100</v>
      </c>
      <c r="C49" s="77" t="str">
        <f t="shared" si="3"/>
        <v/>
      </c>
      <c r="D49" s="33" t="str">
        <f t="shared" si="4"/>
        <v/>
      </c>
      <c r="E49" s="43"/>
      <c r="F49" s="42">
        <v>25</v>
      </c>
      <c r="G49" s="9">
        <f t="shared" si="5"/>
        <v>-9.4999999999999716</v>
      </c>
      <c r="H49" s="9" t="str">
        <f t="shared" si="36"/>
        <v/>
      </c>
      <c r="I49" s="72" t="str">
        <f t="shared" si="59"/>
        <v/>
      </c>
      <c r="J49" s="84" t="str">
        <f t="shared" si="6"/>
        <v/>
      </c>
      <c r="K49" s="81">
        <v>25</v>
      </c>
      <c r="L49" s="9" t="str">
        <f t="shared" si="49"/>
        <v/>
      </c>
      <c r="M49" s="9" t="str">
        <f t="shared" si="52"/>
        <v/>
      </c>
      <c r="N49" s="32" t="str">
        <f t="shared" si="50"/>
        <v/>
      </c>
      <c r="O49" s="32" t="str">
        <f t="shared" si="38"/>
        <v/>
      </c>
      <c r="P49">
        <v>25</v>
      </c>
      <c r="Q49" s="9" t="str">
        <f t="shared" si="51"/>
        <v/>
      </c>
      <c r="R49" s="200" t="str">
        <f t="shared" si="7"/>
        <v/>
      </c>
      <c r="S49" s="56" t="str">
        <f t="shared" si="54"/>
        <v/>
      </c>
      <c r="T49" s="87" t="e">
        <f t="shared" si="39"/>
        <v>#N/A</v>
      </c>
      <c r="U49" s="33" t="e">
        <f t="shared" si="53"/>
        <v>#N/A</v>
      </c>
      <c r="V49" s="89" t="e">
        <f t="shared" si="40"/>
        <v>#N/A</v>
      </c>
      <c r="W49" s="84" t="e">
        <f t="shared" si="41"/>
        <v>#N/A</v>
      </c>
      <c r="X49" s="91" t="str">
        <f t="shared" si="10"/>
        <v/>
      </c>
      <c r="Y49" s="56" t="str">
        <f t="shared" si="11"/>
        <v/>
      </c>
      <c r="Z49" s="9" t="str">
        <f t="shared" si="12"/>
        <v/>
      </c>
      <c r="AA49" s="43" t="str">
        <f t="shared" si="13"/>
        <v/>
      </c>
      <c r="AB49" s="98" t="str">
        <f t="shared" si="42"/>
        <v/>
      </c>
      <c r="AC49" s="9" t="str">
        <f t="shared" si="14"/>
        <v/>
      </c>
      <c r="AD49" s="43" t="str">
        <f t="shared" si="15"/>
        <v/>
      </c>
      <c r="AE49" s="97" t="str">
        <f t="shared" si="16"/>
        <v/>
      </c>
      <c r="AF49" s="19" t="str">
        <f t="shared" si="17"/>
        <v/>
      </c>
      <c r="AG49" s="19" t="str">
        <f t="shared" si="18"/>
        <v/>
      </c>
      <c r="AH49" s="19" t="str">
        <f t="shared" si="19"/>
        <v/>
      </c>
      <c r="AI49" s="43" t="str">
        <f t="shared" si="20"/>
        <v/>
      </c>
      <c r="AJ49" s="98" t="str">
        <f t="shared" si="21"/>
        <v/>
      </c>
      <c r="AK49" s="9" t="str">
        <f t="shared" si="22"/>
        <v/>
      </c>
      <c r="AL49" s="9" t="str">
        <f t="shared" si="23"/>
        <v/>
      </c>
      <c r="AM49" s="9" t="str">
        <f t="shared" si="24"/>
        <v/>
      </c>
      <c r="AN49" s="51" t="str">
        <f t="shared" si="25"/>
        <v/>
      </c>
      <c r="AO49" s="98" t="str">
        <f t="shared" si="0"/>
        <v/>
      </c>
      <c r="AP49" s="103" t="str">
        <f t="shared" si="1"/>
        <v/>
      </c>
      <c r="AQ49" s="98" t="str">
        <f t="shared" si="26"/>
        <v/>
      </c>
      <c r="AR49" s="9" t="str">
        <f t="shared" si="27"/>
        <v/>
      </c>
      <c r="AS49" s="19" t="str">
        <f t="shared" si="28"/>
        <v/>
      </c>
      <c r="AT49" s="9" t="str">
        <f t="shared" si="29"/>
        <v/>
      </c>
      <c r="AU49" s="84" t="str">
        <f t="shared" si="30"/>
        <v/>
      </c>
      <c r="AV49" s="106" t="str">
        <f t="shared" si="2"/>
        <v/>
      </c>
      <c r="AW49" s="112" t="str">
        <f t="shared" si="31"/>
        <v/>
      </c>
      <c r="AX49" s="107" t="str">
        <f t="shared" si="32"/>
        <v/>
      </c>
      <c r="AY49" s="108" t="str">
        <f t="shared" si="33"/>
        <v/>
      </c>
      <c r="AZ49" s="56" t="str">
        <f t="shared" si="34"/>
        <v/>
      </c>
      <c r="BA49" s="51" t="str">
        <f t="shared" si="43"/>
        <v/>
      </c>
      <c r="BC49" s="61" t="str">
        <f t="shared" si="44"/>
        <v/>
      </c>
      <c r="BD49" s="56">
        <f t="shared" si="57"/>
        <v>95</v>
      </c>
      <c r="BE49" s="32">
        <f t="shared" si="58"/>
        <v>-11.333333333333336</v>
      </c>
      <c r="BH49" s="32">
        <f t="shared" si="47"/>
        <v>95</v>
      </c>
      <c r="BI49">
        <f t="shared" si="48"/>
        <v>42.72711060665096</v>
      </c>
    </row>
    <row r="50" spans="1:61">
      <c r="A50" s="42">
        <v>26</v>
      </c>
      <c r="B50" s="33">
        <f t="shared" si="35"/>
        <v>-95</v>
      </c>
      <c r="C50" s="77" t="str">
        <f t="shared" si="3"/>
        <v/>
      </c>
      <c r="D50" s="33" t="str">
        <f t="shared" si="4"/>
        <v/>
      </c>
      <c r="E50" s="43"/>
      <c r="F50" s="42">
        <v>26</v>
      </c>
      <c r="G50" s="9">
        <f t="shared" si="5"/>
        <v>14.250000000000028</v>
      </c>
      <c r="H50" s="9" t="str">
        <f t="shared" si="36"/>
        <v/>
      </c>
      <c r="I50" s="72" t="str">
        <f t="shared" si="59"/>
        <v/>
      </c>
      <c r="J50" s="84" t="str">
        <f t="shared" si="6"/>
        <v/>
      </c>
      <c r="K50" s="81">
        <v>26</v>
      </c>
      <c r="L50" s="9" t="str">
        <f t="shared" si="49"/>
        <v/>
      </c>
      <c r="M50" s="9" t="str">
        <f t="shared" si="52"/>
        <v/>
      </c>
      <c r="N50" s="32" t="str">
        <f t="shared" si="50"/>
        <v/>
      </c>
      <c r="O50" s="32" t="str">
        <f t="shared" si="38"/>
        <v/>
      </c>
      <c r="P50">
        <v>26</v>
      </c>
      <c r="Q50" s="9" t="str">
        <f t="shared" si="51"/>
        <v/>
      </c>
      <c r="R50" s="200" t="str">
        <f t="shared" si="7"/>
        <v/>
      </c>
      <c r="S50" s="56" t="str">
        <f t="shared" si="54"/>
        <v/>
      </c>
      <c r="T50" s="87" t="e">
        <f t="shared" si="39"/>
        <v>#N/A</v>
      </c>
      <c r="U50" s="33" t="e">
        <f t="shared" si="53"/>
        <v>#N/A</v>
      </c>
      <c r="V50" s="89" t="e">
        <f t="shared" si="40"/>
        <v>#N/A</v>
      </c>
      <c r="W50" s="84" t="e">
        <f t="shared" si="41"/>
        <v>#N/A</v>
      </c>
      <c r="X50" s="91" t="str">
        <f t="shared" si="10"/>
        <v/>
      </c>
      <c r="Y50" s="56" t="str">
        <f t="shared" si="11"/>
        <v/>
      </c>
      <c r="Z50" s="9" t="str">
        <f t="shared" si="12"/>
        <v/>
      </c>
      <c r="AA50" s="43" t="str">
        <f t="shared" si="13"/>
        <v/>
      </c>
      <c r="AB50" s="98" t="str">
        <f t="shared" si="42"/>
        <v/>
      </c>
      <c r="AC50" s="9" t="str">
        <f t="shared" si="14"/>
        <v/>
      </c>
      <c r="AD50" s="43" t="str">
        <f t="shared" si="15"/>
        <v/>
      </c>
      <c r="AE50" s="97" t="str">
        <f t="shared" si="16"/>
        <v/>
      </c>
      <c r="AF50" s="19" t="str">
        <f t="shared" si="17"/>
        <v/>
      </c>
      <c r="AG50" s="19" t="str">
        <f t="shared" si="18"/>
        <v/>
      </c>
      <c r="AH50" s="19" t="str">
        <f t="shared" si="19"/>
        <v/>
      </c>
      <c r="AI50" s="43" t="str">
        <f t="shared" si="20"/>
        <v/>
      </c>
      <c r="AJ50" s="98" t="str">
        <f t="shared" si="21"/>
        <v/>
      </c>
      <c r="AK50" s="9" t="str">
        <f t="shared" si="22"/>
        <v/>
      </c>
      <c r="AL50" s="9" t="str">
        <f t="shared" si="23"/>
        <v/>
      </c>
      <c r="AM50" s="9" t="str">
        <f t="shared" si="24"/>
        <v/>
      </c>
      <c r="AN50" s="51" t="str">
        <f t="shared" si="25"/>
        <v/>
      </c>
      <c r="AO50" s="98" t="str">
        <f t="shared" si="0"/>
        <v/>
      </c>
      <c r="AP50" s="103" t="str">
        <f t="shared" si="1"/>
        <v/>
      </c>
      <c r="AQ50" s="98" t="str">
        <f t="shared" si="26"/>
        <v/>
      </c>
      <c r="AR50" s="9" t="str">
        <f t="shared" si="27"/>
        <v/>
      </c>
      <c r="AS50" s="19" t="str">
        <f t="shared" si="28"/>
        <v/>
      </c>
      <c r="AT50" s="9" t="str">
        <f t="shared" si="29"/>
        <v/>
      </c>
      <c r="AU50" s="84" t="str">
        <f t="shared" si="30"/>
        <v/>
      </c>
      <c r="AV50" s="106" t="str">
        <f t="shared" si="2"/>
        <v/>
      </c>
      <c r="AW50" s="112" t="str">
        <f t="shared" si="31"/>
        <v/>
      </c>
      <c r="AX50" s="107" t="str">
        <f t="shared" si="32"/>
        <v/>
      </c>
      <c r="AY50" s="108" t="str">
        <f t="shared" si="33"/>
        <v/>
      </c>
      <c r="AZ50" s="56" t="str">
        <f t="shared" si="34"/>
        <v/>
      </c>
      <c r="BA50" s="51" t="str">
        <f t="shared" si="43"/>
        <v/>
      </c>
      <c r="BC50" s="61" t="str">
        <f t="shared" si="44"/>
        <v/>
      </c>
      <c r="BD50" s="56">
        <f t="shared" si="57"/>
        <v>95</v>
      </c>
      <c r="BE50" s="32">
        <f t="shared" si="58"/>
        <v>-11.333333333333336</v>
      </c>
      <c r="BH50" s="32">
        <f t="shared" si="47"/>
        <v>95</v>
      </c>
      <c r="BI50">
        <f t="shared" si="48"/>
        <v>42.72711060665096</v>
      </c>
    </row>
    <row r="51" spans="1:61">
      <c r="A51" s="42">
        <v>27</v>
      </c>
      <c r="B51" s="33">
        <f t="shared" si="35"/>
        <v>-90</v>
      </c>
      <c r="C51" s="77" t="str">
        <f t="shared" si="3"/>
        <v/>
      </c>
      <c r="D51" s="33" t="str">
        <f t="shared" si="4"/>
        <v/>
      </c>
      <c r="E51" s="43"/>
      <c r="F51" s="42">
        <v>27</v>
      </c>
      <c r="G51" s="9">
        <f t="shared" si="5"/>
        <v>38.000000000000028</v>
      </c>
      <c r="H51" s="9" t="str">
        <f t="shared" si="36"/>
        <v/>
      </c>
      <c r="I51" s="72" t="str">
        <f t="shared" si="59"/>
        <v/>
      </c>
      <c r="J51" s="84" t="str">
        <f t="shared" si="6"/>
        <v/>
      </c>
      <c r="K51" s="81">
        <v>27</v>
      </c>
      <c r="L51" s="9" t="str">
        <f t="shared" si="49"/>
        <v/>
      </c>
      <c r="M51" s="9" t="str">
        <f t="shared" si="52"/>
        <v/>
      </c>
      <c r="N51" s="32" t="str">
        <f t="shared" si="50"/>
        <v/>
      </c>
      <c r="O51" s="32" t="str">
        <f t="shared" si="38"/>
        <v/>
      </c>
      <c r="P51">
        <v>27</v>
      </c>
      <c r="Q51" s="9" t="str">
        <f t="shared" si="51"/>
        <v/>
      </c>
      <c r="R51" s="200" t="str">
        <f t="shared" si="7"/>
        <v/>
      </c>
      <c r="S51" s="56" t="str">
        <f t="shared" si="54"/>
        <v/>
      </c>
      <c r="T51" s="87" t="e">
        <f t="shared" si="39"/>
        <v>#N/A</v>
      </c>
      <c r="U51" s="33" t="e">
        <f t="shared" si="53"/>
        <v>#N/A</v>
      </c>
      <c r="V51" s="89" t="e">
        <f t="shared" si="40"/>
        <v>#N/A</v>
      </c>
      <c r="W51" s="84" t="e">
        <f t="shared" si="41"/>
        <v>#N/A</v>
      </c>
      <c r="X51" s="91" t="str">
        <f t="shared" si="10"/>
        <v/>
      </c>
      <c r="Y51" s="56" t="str">
        <f t="shared" si="11"/>
        <v/>
      </c>
      <c r="Z51" s="9" t="str">
        <f t="shared" si="12"/>
        <v/>
      </c>
      <c r="AA51" s="43" t="str">
        <f t="shared" si="13"/>
        <v/>
      </c>
      <c r="AB51" s="98" t="str">
        <f t="shared" si="42"/>
        <v/>
      </c>
      <c r="AC51" s="9" t="str">
        <f t="shared" si="14"/>
        <v/>
      </c>
      <c r="AD51" s="43" t="str">
        <f t="shared" si="15"/>
        <v/>
      </c>
      <c r="AE51" s="97" t="str">
        <f t="shared" si="16"/>
        <v/>
      </c>
      <c r="AF51" s="19" t="str">
        <f t="shared" si="17"/>
        <v/>
      </c>
      <c r="AG51" s="19" t="str">
        <f t="shared" si="18"/>
        <v/>
      </c>
      <c r="AH51" s="19" t="str">
        <f t="shared" si="19"/>
        <v/>
      </c>
      <c r="AI51" s="43" t="str">
        <f t="shared" si="20"/>
        <v/>
      </c>
      <c r="AJ51" s="98" t="str">
        <f t="shared" si="21"/>
        <v/>
      </c>
      <c r="AK51" s="9" t="str">
        <f t="shared" si="22"/>
        <v/>
      </c>
      <c r="AL51" s="9" t="str">
        <f t="shared" si="23"/>
        <v/>
      </c>
      <c r="AM51" s="9" t="str">
        <f t="shared" si="24"/>
        <v/>
      </c>
      <c r="AN51" s="51" t="str">
        <f t="shared" si="25"/>
        <v/>
      </c>
      <c r="AO51" s="98" t="str">
        <f t="shared" si="0"/>
        <v/>
      </c>
      <c r="AP51" s="103" t="str">
        <f t="shared" si="1"/>
        <v/>
      </c>
      <c r="AQ51" s="98" t="str">
        <f t="shared" si="26"/>
        <v/>
      </c>
      <c r="AR51" s="9" t="str">
        <f t="shared" si="27"/>
        <v/>
      </c>
      <c r="AS51" s="19" t="str">
        <f t="shared" si="28"/>
        <v/>
      </c>
      <c r="AT51" s="9" t="str">
        <f t="shared" si="29"/>
        <v/>
      </c>
      <c r="AU51" s="84" t="str">
        <f t="shared" si="30"/>
        <v/>
      </c>
      <c r="AV51" s="106" t="str">
        <f t="shared" si="2"/>
        <v/>
      </c>
      <c r="AW51" s="112" t="str">
        <f t="shared" si="31"/>
        <v/>
      </c>
      <c r="AX51" s="107" t="str">
        <f t="shared" si="32"/>
        <v/>
      </c>
      <c r="AY51" s="108" t="str">
        <f t="shared" si="33"/>
        <v/>
      </c>
      <c r="AZ51" s="56" t="str">
        <f t="shared" si="34"/>
        <v/>
      </c>
      <c r="BA51" s="51" t="str">
        <f t="shared" si="43"/>
        <v/>
      </c>
      <c r="BC51" s="61" t="str">
        <f t="shared" si="44"/>
        <v/>
      </c>
      <c r="BD51" s="56">
        <f t="shared" si="57"/>
        <v>95</v>
      </c>
      <c r="BE51" s="32">
        <f t="shared" si="58"/>
        <v>-11.333333333333336</v>
      </c>
      <c r="BH51" s="32">
        <f t="shared" si="47"/>
        <v>95</v>
      </c>
      <c r="BI51">
        <f t="shared" si="48"/>
        <v>42.72711060665096</v>
      </c>
    </row>
    <row r="52" spans="1:61">
      <c r="A52" s="42">
        <v>28</v>
      </c>
      <c r="B52" s="33">
        <f t="shared" si="35"/>
        <v>-85</v>
      </c>
      <c r="C52" s="77" t="str">
        <f t="shared" si="3"/>
        <v/>
      </c>
      <c r="D52" s="33" t="str">
        <f t="shared" si="4"/>
        <v/>
      </c>
      <c r="E52" s="43"/>
      <c r="F52" s="42">
        <v>28</v>
      </c>
      <c r="G52" s="9">
        <f t="shared" si="5"/>
        <v>61.750000000000028</v>
      </c>
      <c r="H52" s="9" t="str">
        <f t="shared" si="36"/>
        <v/>
      </c>
      <c r="I52" s="72" t="str">
        <f t="shared" si="59"/>
        <v/>
      </c>
      <c r="J52" s="84" t="str">
        <f t="shared" si="6"/>
        <v/>
      </c>
      <c r="K52" s="81">
        <v>28</v>
      </c>
      <c r="L52" s="9" t="str">
        <f t="shared" si="49"/>
        <v/>
      </c>
      <c r="M52" s="9" t="str">
        <f t="shared" si="52"/>
        <v/>
      </c>
      <c r="N52" s="32" t="str">
        <f t="shared" si="50"/>
        <v/>
      </c>
      <c r="O52" s="32" t="str">
        <f t="shared" si="38"/>
        <v/>
      </c>
      <c r="P52">
        <v>28</v>
      </c>
      <c r="Q52" s="9" t="str">
        <f t="shared" si="51"/>
        <v/>
      </c>
      <c r="R52" s="200" t="str">
        <f t="shared" si="7"/>
        <v/>
      </c>
      <c r="S52" s="56" t="str">
        <f t="shared" si="54"/>
        <v/>
      </c>
      <c r="T52" s="87" t="e">
        <f t="shared" si="39"/>
        <v>#N/A</v>
      </c>
      <c r="U52" s="33" t="e">
        <f t="shared" si="53"/>
        <v>#N/A</v>
      </c>
      <c r="V52" s="89" t="e">
        <f t="shared" si="40"/>
        <v>#N/A</v>
      </c>
      <c r="W52" s="84" t="e">
        <f t="shared" si="41"/>
        <v>#N/A</v>
      </c>
      <c r="X52" s="91" t="str">
        <f t="shared" si="10"/>
        <v/>
      </c>
      <c r="Y52" s="56" t="str">
        <f t="shared" si="11"/>
        <v/>
      </c>
      <c r="Z52" s="9" t="str">
        <f t="shared" si="12"/>
        <v/>
      </c>
      <c r="AA52" s="43" t="str">
        <f t="shared" si="13"/>
        <v/>
      </c>
      <c r="AB52" s="98" t="str">
        <f t="shared" si="42"/>
        <v/>
      </c>
      <c r="AC52" s="9" t="str">
        <f t="shared" si="14"/>
        <v/>
      </c>
      <c r="AD52" s="43" t="str">
        <f t="shared" si="15"/>
        <v/>
      </c>
      <c r="AE52" s="97" t="str">
        <f t="shared" si="16"/>
        <v/>
      </c>
      <c r="AF52" s="19" t="str">
        <f t="shared" si="17"/>
        <v/>
      </c>
      <c r="AG52" s="19" t="str">
        <f t="shared" si="18"/>
        <v/>
      </c>
      <c r="AH52" s="19" t="str">
        <f t="shared" si="19"/>
        <v/>
      </c>
      <c r="AI52" s="43" t="str">
        <f t="shared" si="20"/>
        <v/>
      </c>
      <c r="AJ52" s="98" t="str">
        <f t="shared" si="21"/>
        <v/>
      </c>
      <c r="AK52" s="9" t="str">
        <f t="shared" si="22"/>
        <v/>
      </c>
      <c r="AL52" s="9" t="str">
        <f t="shared" si="23"/>
        <v/>
      </c>
      <c r="AM52" s="9" t="str">
        <f t="shared" si="24"/>
        <v/>
      </c>
      <c r="AN52" s="51" t="str">
        <f t="shared" si="25"/>
        <v/>
      </c>
      <c r="AO52" s="98" t="str">
        <f t="shared" si="0"/>
        <v/>
      </c>
      <c r="AP52" s="103" t="str">
        <f t="shared" si="1"/>
        <v/>
      </c>
      <c r="AQ52" s="98" t="str">
        <f t="shared" si="26"/>
        <v/>
      </c>
      <c r="AR52" s="9" t="str">
        <f t="shared" si="27"/>
        <v/>
      </c>
      <c r="AS52" s="19" t="str">
        <f t="shared" si="28"/>
        <v/>
      </c>
      <c r="AT52" s="9" t="str">
        <f t="shared" si="29"/>
        <v/>
      </c>
      <c r="AU52" s="84" t="str">
        <f t="shared" si="30"/>
        <v/>
      </c>
      <c r="AV52" s="106" t="str">
        <f t="shared" si="2"/>
        <v/>
      </c>
      <c r="AW52" s="112" t="str">
        <f t="shared" si="31"/>
        <v/>
      </c>
      <c r="AX52" s="107" t="str">
        <f t="shared" si="32"/>
        <v/>
      </c>
      <c r="AY52" s="108" t="str">
        <f t="shared" si="33"/>
        <v/>
      </c>
      <c r="AZ52" s="56" t="str">
        <f t="shared" si="34"/>
        <v/>
      </c>
      <c r="BA52" s="51" t="str">
        <f t="shared" si="43"/>
        <v/>
      </c>
      <c r="BC52" s="61" t="str">
        <f t="shared" si="44"/>
        <v/>
      </c>
      <c r="BD52" s="56">
        <f t="shared" si="57"/>
        <v>95</v>
      </c>
      <c r="BE52" s="32">
        <f t="shared" si="58"/>
        <v>-11.333333333333336</v>
      </c>
      <c r="BH52" s="32">
        <f t="shared" si="47"/>
        <v>95</v>
      </c>
      <c r="BI52">
        <f t="shared" si="48"/>
        <v>42.72711060665096</v>
      </c>
    </row>
    <row r="53" spans="1:61">
      <c r="A53" s="42">
        <v>29</v>
      </c>
      <c r="B53" s="33">
        <f t="shared" si="35"/>
        <v>-80</v>
      </c>
      <c r="C53" s="77" t="str">
        <f t="shared" si="3"/>
        <v/>
      </c>
      <c r="D53" s="33" t="str">
        <f t="shared" si="4"/>
        <v/>
      </c>
      <c r="E53" s="43"/>
      <c r="F53" s="42">
        <v>29</v>
      </c>
      <c r="G53" s="9">
        <f t="shared" si="5"/>
        <v>85.500000000000028</v>
      </c>
      <c r="H53" s="9" t="str">
        <f t="shared" si="36"/>
        <v/>
      </c>
      <c r="I53" s="72" t="str">
        <f t="shared" si="59"/>
        <v/>
      </c>
      <c r="J53" s="84" t="str">
        <f t="shared" si="6"/>
        <v/>
      </c>
      <c r="K53" s="81">
        <v>29</v>
      </c>
      <c r="L53" s="9" t="str">
        <f t="shared" si="49"/>
        <v/>
      </c>
      <c r="M53" s="9" t="str">
        <f t="shared" si="52"/>
        <v/>
      </c>
      <c r="N53" s="32" t="str">
        <f t="shared" si="50"/>
        <v/>
      </c>
      <c r="O53" s="32" t="str">
        <f t="shared" si="38"/>
        <v/>
      </c>
      <c r="P53">
        <v>29</v>
      </c>
      <c r="Q53" s="9" t="str">
        <f t="shared" si="51"/>
        <v/>
      </c>
      <c r="R53" s="200" t="str">
        <f t="shared" si="7"/>
        <v/>
      </c>
      <c r="S53" s="56" t="str">
        <f t="shared" si="54"/>
        <v/>
      </c>
      <c r="T53" s="87" t="e">
        <f t="shared" si="39"/>
        <v>#N/A</v>
      </c>
      <c r="U53" s="33" t="e">
        <f t="shared" si="53"/>
        <v>#N/A</v>
      </c>
      <c r="V53" s="89" t="e">
        <f t="shared" si="40"/>
        <v>#N/A</v>
      </c>
      <c r="W53" s="84" t="e">
        <f t="shared" si="41"/>
        <v>#N/A</v>
      </c>
      <c r="X53" s="91" t="str">
        <f t="shared" si="10"/>
        <v/>
      </c>
      <c r="Y53" s="56" t="str">
        <f t="shared" si="11"/>
        <v/>
      </c>
      <c r="Z53" s="9" t="str">
        <f t="shared" si="12"/>
        <v/>
      </c>
      <c r="AA53" s="43" t="str">
        <f t="shared" si="13"/>
        <v/>
      </c>
      <c r="AB53" s="98" t="str">
        <f t="shared" si="42"/>
        <v/>
      </c>
      <c r="AC53" s="9" t="str">
        <f t="shared" si="14"/>
        <v/>
      </c>
      <c r="AD53" s="43" t="str">
        <f t="shared" si="15"/>
        <v/>
      </c>
      <c r="AE53" s="97" t="str">
        <f t="shared" si="16"/>
        <v/>
      </c>
      <c r="AF53" s="19" t="str">
        <f t="shared" si="17"/>
        <v/>
      </c>
      <c r="AG53" s="19" t="str">
        <f t="shared" si="18"/>
        <v/>
      </c>
      <c r="AH53" s="19" t="str">
        <f t="shared" si="19"/>
        <v/>
      </c>
      <c r="AI53" s="43" t="str">
        <f t="shared" si="20"/>
        <v/>
      </c>
      <c r="AJ53" s="98" t="str">
        <f t="shared" si="21"/>
        <v/>
      </c>
      <c r="AK53" s="9" t="str">
        <f t="shared" si="22"/>
        <v/>
      </c>
      <c r="AL53" s="9" t="str">
        <f t="shared" si="23"/>
        <v/>
      </c>
      <c r="AM53" s="9" t="str">
        <f t="shared" si="24"/>
        <v/>
      </c>
      <c r="AN53" s="51" t="str">
        <f t="shared" si="25"/>
        <v/>
      </c>
      <c r="AO53" s="98" t="str">
        <f t="shared" si="0"/>
        <v/>
      </c>
      <c r="AP53" s="103" t="str">
        <f t="shared" si="1"/>
        <v/>
      </c>
      <c r="AQ53" s="98" t="str">
        <f t="shared" si="26"/>
        <v/>
      </c>
      <c r="AR53" s="9" t="str">
        <f t="shared" si="27"/>
        <v/>
      </c>
      <c r="AS53" s="19" t="str">
        <f t="shared" si="28"/>
        <v/>
      </c>
      <c r="AT53" s="9" t="str">
        <f t="shared" si="29"/>
        <v/>
      </c>
      <c r="AU53" s="84" t="str">
        <f t="shared" si="30"/>
        <v/>
      </c>
      <c r="AV53" s="106" t="str">
        <f t="shared" si="2"/>
        <v/>
      </c>
      <c r="AW53" s="112" t="str">
        <f t="shared" si="31"/>
        <v/>
      </c>
      <c r="AX53" s="107" t="str">
        <f t="shared" si="32"/>
        <v/>
      </c>
      <c r="AY53" s="108" t="str">
        <f t="shared" si="33"/>
        <v/>
      </c>
      <c r="AZ53" s="56" t="str">
        <f t="shared" si="34"/>
        <v/>
      </c>
      <c r="BA53" s="51" t="str">
        <f t="shared" si="43"/>
        <v/>
      </c>
      <c r="BC53" s="61" t="str">
        <f t="shared" si="44"/>
        <v/>
      </c>
      <c r="BD53" s="56">
        <f t="shared" si="57"/>
        <v>95</v>
      </c>
      <c r="BE53" s="32">
        <f t="shared" si="58"/>
        <v>-11.333333333333336</v>
      </c>
      <c r="BH53" s="32">
        <f t="shared" si="47"/>
        <v>95</v>
      </c>
      <c r="BI53">
        <f t="shared" si="48"/>
        <v>42.72711060665096</v>
      </c>
    </row>
    <row r="54" spans="1:61">
      <c r="A54" s="42">
        <v>30</v>
      </c>
      <c r="B54" s="33">
        <f t="shared" si="35"/>
        <v>-75</v>
      </c>
      <c r="C54" s="77" t="str">
        <f t="shared" si="3"/>
        <v/>
      </c>
      <c r="D54" s="33" t="str">
        <f t="shared" si="4"/>
        <v/>
      </c>
      <c r="E54" s="43"/>
      <c r="F54" s="42">
        <v>30</v>
      </c>
      <c r="G54" s="9">
        <f t="shared" si="5"/>
        <v>109.25000000000003</v>
      </c>
      <c r="H54" s="9" t="str">
        <f t="shared" si="36"/>
        <v/>
      </c>
      <c r="I54" s="72" t="str">
        <f t="shared" si="59"/>
        <v/>
      </c>
      <c r="J54" s="84" t="str">
        <f t="shared" si="6"/>
        <v/>
      </c>
      <c r="K54" s="81">
        <v>30</v>
      </c>
      <c r="L54" s="9" t="str">
        <f t="shared" si="49"/>
        <v/>
      </c>
      <c r="M54" s="9" t="str">
        <f t="shared" si="52"/>
        <v/>
      </c>
      <c r="N54" s="32" t="str">
        <f t="shared" si="50"/>
        <v/>
      </c>
      <c r="O54" s="32" t="str">
        <f t="shared" si="38"/>
        <v/>
      </c>
      <c r="P54">
        <v>30</v>
      </c>
      <c r="Q54" s="9" t="str">
        <f t="shared" si="51"/>
        <v/>
      </c>
      <c r="R54" s="200" t="str">
        <f t="shared" si="7"/>
        <v/>
      </c>
      <c r="S54" s="56" t="str">
        <f t="shared" si="54"/>
        <v/>
      </c>
      <c r="T54" s="87" t="e">
        <f t="shared" si="39"/>
        <v>#N/A</v>
      </c>
      <c r="U54" s="33" t="e">
        <f t="shared" si="53"/>
        <v>#N/A</v>
      </c>
      <c r="V54" s="89" t="e">
        <f t="shared" si="40"/>
        <v>#N/A</v>
      </c>
      <c r="W54" s="84" t="e">
        <f t="shared" si="41"/>
        <v>#N/A</v>
      </c>
      <c r="X54" s="91" t="str">
        <f t="shared" si="10"/>
        <v/>
      </c>
      <c r="Y54" s="56" t="str">
        <f t="shared" si="11"/>
        <v/>
      </c>
      <c r="Z54" s="9" t="str">
        <f t="shared" si="12"/>
        <v/>
      </c>
      <c r="AA54" s="43" t="str">
        <f t="shared" si="13"/>
        <v/>
      </c>
      <c r="AB54" s="98" t="str">
        <f t="shared" si="42"/>
        <v/>
      </c>
      <c r="AC54" s="9" t="str">
        <f t="shared" si="14"/>
        <v/>
      </c>
      <c r="AD54" s="43" t="str">
        <f t="shared" si="15"/>
        <v/>
      </c>
      <c r="AE54" s="97" t="str">
        <f t="shared" si="16"/>
        <v/>
      </c>
      <c r="AF54" s="19" t="str">
        <f t="shared" si="17"/>
        <v/>
      </c>
      <c r="AG54" s="19" t="str">
        <f t="shared" si="18"/>
        <v/>
      </c>
      <c r="AH54" s="19" t="str">
        <f t="shared" si="19"/>
        <v/>
      </c>
      <c r="AI54" s="43" t="str">
        <f t="shared" si="20"/>
        <v/>
      </c>
      <c r="AJ54" s="98" t="str">
        <f t="shared" si="21"/>
        <v/>
      </c>
      <c r="AK54" s="9" t="str">
        <f t="shared" si="22"/>
        <v/>
      </c>
      <c r="AL54" s="9" t="str">
        <f t="shared" si="23"/>
        <v/>
      </c>
      <c r="AM54" s="9" t="str">
        <f t="shared" si="24"/>
        <v/>
      </c>
      <c r="AN54" s="51" t="str">
        <f t="shared" si="25"/>
        <v/>
      </c>
      <c r="AO54" s="98" t="str">
        <f t="shared" si="0"/>
        <v/>
      </c>
      <c r="AP54" s="103" t="str">
        <f t="shared" si="1"/>
        <v/>
      </c>
      <c r="AQ54" s="98" t="str">
        <f t="shared" si="26"/>
        <v/>
      </c>
      <c r="AR54" s="9" t="str">
        <f t="shared" si="27"/>
        <v/>
      </c>
      <c r="AS54" s="19" t="str">
        <f t="shared" si="28"/>
        <v/>
      </c>
      <c r="AT54" s="9" t="str">
        <f t="shared" si="29"/>
        <v/>
      </c>
      <c r="AU54" s="84" t="str">
        <f t="shared" si="30"/>
        <v/>
      </c>
      <c r="AV54" s="106" t="str">
        <f t="shared" si="2"/>
        <v/>
      </c>
      <c r="AW54" s="112" t="str">
        <f t="shared" si="31"/>
        <v/>
      </c>
      <c r="AX54" s="107" t="str">
        <f t="shared" si="32"/>
        <v/>
      </c>
      <c r="AY54" s="108" t="str">
        <f t="shared" si="33"/>
        <v/>
      </c>
      <c r="AZ54" s="56" t="str">
        <f t="shared" si="34"/>
        <v/>
      </c>
      <c r="BA54" s="51" t="str">
        <f t="shared" si="43"/>
        <v/>
      </c>
      <c r="BC54" s="61" t="str">
        <f t="shared" si="44"/>
        <v/>
      </c>
      <c r="BD54" s="56">
        <f t="shared" si="57"/>
        <v>95</v>
      </c>
      <c r="BE54" s="32">
        <f t="shared" si="58"/>
        <v>-11.333333333333336</v>
      </c>
      <c r="BH54" s="32">
        <f t="shared" si="47"/>
        <v>95</v>
      </c>
      <c r="BI54">
        <f t="shared" si="48"/>
        <v>42.72711060665096</v>
      </c>
    </row>
    <row r="55" spans="1:61">
      <c r="A55" s="42">
        <v>31</v>
      </c>
      <c r="B55" s="33">
        <f t="shared" si="35"/>
        <v>-70</v>
      </c>
      <c r="C55" s="77" t="str">
        <f t="shared" si="3"/>
        <v/>
      </c>
      <c r="D55" s="33" t="str">
        <f t="shared" si="4"/>
        <v/>
      </c>
      <c r="E55" s="43"/>
      <c r="F55" s="42">
        <v>31</v>
      </c>
      <c r="G55" s="9">
        <f t="shared" si="5"/>
        <v>133.00000000000003</v>
      </c>
      <c r="H55" s="9" t="str">
        <f t="shared" si="36"/>
        <v/>
      </c>
      <c r="I55" s="72" t="str">
        <f t="shared" si="59"/>
        <v/>
      </c>
      <c r="J55" s="84" t="str">
        <f t="shared" si="6"/>
        <v/>
      </c>
      <c r="K55" s="81">
        <v>31</v>
      </c>
      <c r="L55" s="9" t="str">
        <f t="shared" si="49"/>
        <v/>
      </c>
      <c r="M55" s="9" t="str">
        <f t="shared" si="52"/>
        <v/>
      </c>
      <c r="N55" s="32" t="str">
        <f t="shared" si="50"/>
        <v/>
      </c>
      <c r="O55" s="32" t="str">
        <f t="shared" si="38"/>
        <v/>
      </c>
      <c r="P55">
        <v>31</v>
      </c>
      <c r="Q55" s="9" t="str">
        <f t="shared" si="51"/>
        <v/>
      </c>
      <c r="R55" s="200" t="str">
        <f t="shared" si="7"/>
        <v/>
      </c>
      <c r="S55" s="56" t="str">
        <f t="shared" si="54"/>
        <v/>
      </c>
      <c r="T55" s="87" t="e">
        <f t="shared" si="39"/>
        <v>#N/A</v>
      </c>
      <c r="U55" s="33" t="e">
        <f t="shared" si="53"/>
        <v>#N/A</v>
      </c>
      <c r="V55" s="89" t="e">
        <f t="shared" si="40"/>
        <v>#N/A</v>
      </c>
      <c r="W55" s="84" t="e">
        <f t="shared" si="41"/>
        <v>#N/A</v>
      </c>
      <c r="X55" s="91" t="str">
        <f t="shared" si="10"/>
        <v/>
      </c>
      <c r="Y55" s="56" t="str">
        <f t="shared" si="11"/>
        <v/>
      </c>
      <c r="Z55" s="9" t="str">
        <f t="shared" si="12"/>
        <v/>
      </c>
      <c r="AA55" s="43" t="str">
        <f t="shared" si="13"/>
        <v/>
      </c>
      <c r="AB55" s="98" t="str">
        <f t="shared" si="42"/>
        <v/>
      </c>
      <c r="AC55" s="9" t="str">
        <f t="shared" si="14"/>
        <v/>
      </c>
      <c r="AD55" s="43" t="str">
        <f t="shared" si="15"/>
        <v/>
      </c>
      <c r="AE55" s="97" t="str">
        <f t="shared" si="16"/>
        <v/>
      </c>
      <c r="AF55" s="19" t="str">
        <f t="shared" si="17"/>
        <v/>
      </c>
      <c r="AG55" s="19" t="str">
        <f t="shared" si="18"/>
        <v/>
      </c>
      <c r="AH55" s="19" t="str">
        <f t="shared" si="19"/>
        <v/>
      </c>
      <c r="AI55" s="43" t="str">
        <f t="shared" si="20"/>
        <v/>
      </c>
      <c r="AJ55" s="98" t="str">
        <f t="shared" si="21"/>
        <v/>
      </c>
      <c r="AK55" s="9" t="str">
        <f t="shared" si="22"/>
        <v/>
      </c>
      <c r="AL55" s="9" t="str">
        <f t="shared" si="23"/>
        <v/>
      </c>
      <c r="AM55" s="9" t="str">
        <f t="shared" si="24"/>
        <v/>
      </c>
      <c r="AN55" s="51" t="str">
        <f t="shared" si="25"/>
        <v/>
      </c>
      <c r="AO55" s="98" t="str">
        <f t="shared" si="0"/>
        <v/>
      </c>
      <c r="AP55" s="103" t="str">
        <f t="shared" si="1"/>
        <v/>
      </c>
      <c r="AQ55" s="98" t="str">
        <f t="shared" si="26"/>
        <v/>
      </c>
      <c r="AR55" s="9" t="str">
        <f t="shared" si="27"/>
        <v/>
      </c>
      <c r="AS55" s="19" t="str">
        <f t="shared" si="28"/>
        <v/>
      </c>
      <c r="AT55" s="9" t="str">
        <f t="shared" si="29"/>
        <v/>
      </c>
      <c r="AU55" s="84" t="str">
        <f t="shared" si="30"/>
        <v/>
      </c>
      <c r="AV55" s="106" t="str">
        <f t="shared" si="2"/>
        <v/>
      </c>
      <c r="AW55" s="112" t="str">
        <f t="shared" si="31"/>
        <v/>
      </c>
      <c r="AX55" s="107" t="str">
        <f t="shared" si="32"/>
        <v/>
      </c>
      <c r="AY55" s="108" t="str">
        <f t="shared" si="33"/>
        <v/>
      </c>
      <c r="AZ55" s="56" t="str">
        <f t="shared" si="34"/>
        <v/>
      </c>
      <c r="BA55" s="51" t="str">
        <f t="shared" si="43"/>
        <v/>
      </c>
      <c r="BC55" s="61" t="str">
        <f t="shared" si="44"/>
        <v/>
      </c>
      <c r="BD55" s="56">
        <f t="shared" si="57"/>
        <v>95</v>
      </c>
      <c r="BE55" s="32">
        <f t="shared" si="58"/>
        <v>-11.333333333333336</v>
      </c>
      <c r="BH55" s="32">
        <f t="shared" si="47"/>
        <v>95</v>
      </c>
      <c r="BI55">
        <f t="shared" si="48"/>
        <v>42.72711060665096</v>
      </c>
    </row>
    <row r="56" spans="1:61">
      <c r="A56" s="42">
        <v>32</v>
      </c>
      <c r="B56" s="33">
        <f t="shared" si="35"/>
        <v>-65</v>
      </c>
      <c r="C56" s="77" t="str">
        <f t="shared" si="3"/>
        <v/>
      </c>
      <c r="D56" s="33" t="str">
        <f t="shared" si="4"/>
        <v/>
      </c>
      <c r="E56" s="43"/>
      <c r="F56" s="42">
        <v>32</v>
      </c>
      <c r="G56" s="9">
        <f t="shared" si="5"/>
        <v>156.75000000000003</v>
      </c>
      <c r="H56" s="9" t="str">
        <f t="shared" si="36"/>
        <v/>
      </c>
      <c r="I56" s="72" t="str">
        <f t="shared" si="59"/>
        <v/>
      </c>
      <c r="J56" s="84" t="str">
        <f t="shared" si="6"/>
        <v/>
      </c>
      <c r="K56" s="81">
        <v>32</v>
      </c>
      <c r="L56" s="9" t="str">
        <f t="shared" si="49"/>
        <v/>
      </c>
      <c r="M56" s="9" t="str">
        <f t="shared" si="52"/>
        <v/>
      </c>
      <c r="N56" s="32" t="str">
        <f t="shared" si="50"/>
        <v/>
      </c>
      <c r="O56" s="32" t="str">
        <f t="shared" si="38"/>
        <v/>
      </c>
      <c r="P56">
        <v>32</v>
      </c>
      <c r="Q56" s="9" t="str">
        <f t="shared" si="51"/>
        <v/>
      </c>
      <c r="R56" s="200" t="str">
        <f t="shared" si="7"/>
        <v/>
      </c>
      <c r="S56" s="56" t="str">
        <f t="shared" si="54"/>
        <v/>
      </c>
      <c r="T56" s="87" t="e">
        <f t="shared" si="39"/>
        <v>#N/A</v>
      </c>
      <c r="U56" s="33" t="e">
        <f t="shared" si="53"/>
        <v>#N/A</v>
      </c>
      <c r="V56" s="89" t="e">
        <f t="shared" si="40"/>
        <v>#N/A</v>
      </c>
      <c r="W56" s="84" t="e">
        <f t="shared" si="41"/>
        <v>#N/A</v>
      </c>
      <c r="X56" s="91" t="str">
        <f t="shared" si="10"/>
        <v/>
      </c>
      <c r="Y56" s="56" t="str">
        <f t="shared" si="11"/>
        <v/>
      </c>
      <c r="Z56" s="9" t="str">
        <f t="shared" si="12"/>
        <v/>
      </c>
      <c r="AA56" s="43" t="str">
        <f t="shared" si="13"/>
        <v/>
      </c>
      <c r="AB56" s="98" t="str">
        <f t="shared" si="42"/>
        <v/>
      </c>
      <c r="AC56" s="9" t="str">
        <f t="shared" si="14"/>
        <v/>
      </c>
      <c r="AD56" s="43" t="str">
        <f t="shared" si="15"/>
        <v/>
      </c>
      <c r="AE56" s="97" t="str">
        <f t="shared" si="16"/>
        <v/>
      </c>
      <c r="AF56" s="19" t="str">
        <f t="shared" si="17"/>
        <v/>
      </c>
      <c r="AG56" s="19" t="str">
        <f t="shared" si="18"/>
        <v/>
      </c>
      <c r="AH56" s="19" t="str">
        <f t="shared" si="19"/>
        <v/>
      </c>
      <c r="AI56" s="43" t="str">
        <f t="shared" si="20"/>
        <v/>
      </c>
      <c r="AJ56" s="98" t="str">
        <f t="shared" si="21"/>
        <v/>
      </c>
      <c r="AK56" s="9" t="str">
        <f t="shared" si="22"/>
        <v/>
      </c>
      <c r="AL56" s="9" t="str">
        <f t="shared" si="23"/>
        <v/>
      </c>
      <c r="AM56" s="9" t="str">
        <f t="shared" si="24"/>
        <v/>
      </c>
      <c r="AN56" s="51" t="str">
        <f t="shared" si="25"/>
        <v/>
      </c>
      <c r="AO56" s="98" t="str">
        <f t="shared" si="0"/>
        <v/>
      </c>
      <c r="AP56" s="103" t="str">
        <f t="shared" si="1"/>
        <v/>
      </c>
      <c r="AQ56" s="98" t="str">
        <f t="shared" si="26"/>
        <v/>
      </c>
      <c r="AR56" s="9" t="str">
        <f t="shared" si="27"/>
        <v/>
      </c>
      <c r="AS56" s="19" t="str">
        <f t="shared" si="28"/>
        <v/>
      </c>
      <c r="AT56" s="9" t="str">
        <f t="shared" si="29"/>
        <v/>
      </c>
      <c r="AU56" s="84" t="str">
        <f t="shared" si="30"/>
        <v/>
      </c>
      <c r="AV56" s="106" t="str">
        <f t="shared" si="2"/>
        <v/>
      </c>
      <c r="AW56" s="112" t="str">
        <f t="shared" si="31"/>
        <v/>
      </c>
      <c r="AX56" s="107" t="str">
        <f t="shared" si="32"/>
        <v/>
      </c>
      <c r="AY56" s="108" t="str">
        <f t="shared" si="33"/>
        <v/>
      </c>
      <c r="AZ56" s="56" t="str">
        <f t="shared" si="34"/>
        <v/>
      </c>
      <c r="BA56" s="51" t="str">
        <f t="shared" si="43"/>
        <v/>
      </c>
      <c r="BC56" s="61" t="str">
        <f t="shared" si="44"/>
        <v/>
      </c>
      <c r="BD56" s="56">
        <f t="shared" si="57"/>
        <v>95</v>
      </c>
      <c r="BE56" s="32">
        <f t="shared" si="58"/>
        <v>-11.333333333333336</v>
      </c>
      <c r="BH56" s="32">
        <f t="shared" si="47"/>
        <v>95</v>
      </c>
      <c r="BI56">
        <f t="shared" si="48"/>
        <v>42.72711060665096</v>
      </c>
    </row>
    <row r="57" spans="1:61">
      <c r="A57" s="42">
        <v>33</v>
      </c>
      <c r="B57" s="33">
        <f t="shared" si="35"/>
        <v>-60</v>
      </c>
      <c r="C57" s="77" t="str">
        <f t="shared" si="3"/>
        <v/>
      </c>
      <c r="D57" s="33" t="str">
        <f t="shared" si="4"/>
        <v/>
      </c>
      <c r="E57" s="43"/>
      <c r="F57" s="42">
        <v>33</v>
      </c>
      <c r="G57" s="9">
        <f t="shared" si="5"/>
        <v>-179.49999999999997</v>
      </c>
      <c r="H57" s="9" t="str">
        <f t="shared" si="36"/>
        <v/>
      </c>
      <c r="I57" s="72" t="str">
        <f t="shared" si="59"/>
        <v/>
      </c>
      <c r="J57" s="84" t="str">
        <f t="shared" si="6"/>
        <v/>
      </c>
      <c r="K57" s="81">
        <v>33</v>
      </c>
      <c r="L57" s="9" t="str">
        <f t="shared" si="49"/>
        <v/>
      </c>
      <c r="M57" s="9" t="str">
        <f t="shared" si="52"/>
        <v/>
      </c>
      <c r="N57" s="32" t="str">
        <f t="shared" si="50"/>
        <v/>
      </c>
      <c r="O57" s="32" t="str">
        <f t="shared" si="38"/>
        <v/>
      </c>
      <c r="P57">
        <v>33</v>
      </c>
      <c r="Q57" s="9" t="str">
        <f t="shared" si="51"/>
        <v/>
      </c>
      <c r="R57" s="200" t="str">
        <f t="shared" si="7"/>
        <v/>
      </c>
      <c r="S57" s="56" t="str">
        <f t="shared" si="54"/>
        <v/>
      </c>
      <c r="T57" s="87" t="e">
        <f t="shared" si="39"/>
        <v>#N/A</v>
      </c>
      <c r="U57" s="33" t="e">
        <f t="shared" si="53"/>
        <v>#N/A</v>
      </c>
      <c r="V57" s="89" t="e">
        <f t="shared" si="40"/>
        <v>#N/A</v>
      </c>
      <c r="W57" s="84" t="e">
        <f t="shared" si="41"/>
        <v>#N/A</v>
      </c>
      <c r="X57" s="91" t="str">
        <f t="shared" si="10"/>
        <v/>
      </c>
      <c r="Y57" s="56" t="str">
        <f t="shared" si="11"/>
        <v/>
      </c>
      <c r="Z57" s="9" t="str">
        <f t="shared" si="12"/>
        <v/>
      </c>
      <c r="AA57" s="43" t="str">
        <f t="shared" si="13"/>
        <v/>
      </c>
      <c r="AB57" s="98" t="str">
        <f t="shared" ref="AB57:AB74" si="60">IF(X58="","",7915.70447*LOG(TAN(RADIANS((45+X58/2)))/TAN(RADIANS((45+X57/2)))))</f>
        <v/>
      </c>
      <c r="AC57" s="9" t="str">
        <f t="shared" ref="AC57:AC74" si="61">IF(X58="","",7915.70446789782*LOG((TAN(RADIANS(45+X58/2))*(((1-0.0818191908426215*SIN(RADIANS(X58)))/(1+0.0818191908426215*SIN(RADIANS(X58))))^(0.0818191908426215/2)))/(TAN(RADIANS(45+X57/2))*(((1-0.0818191908426215*SIN(RADIANS(X57)))/(1+0.0818191908426215*SIN(RADIANS(X57))))^(0.0818191908426215/2)))))</f>
        <v/>
      </c>
      <c r="AD57" s="43" t="str">
        <f t="shared" ref="AD57:AD74" si="62">IF(X58="","",DEGREES(ATAN2(3437.74677078*(LN((TAN(RADIANS(45+X58/2)))/(TAN(RADIANS(45+X57/2)))))-((SIN(RADIANS(X58))-SIN(RADIANS(X57)))*23.0135831934767)-((SIN(RADIANS(X58))^3)-(SIN(RADIANS(X57))^3))*(0.051353890277194)-((SIN(RADIANS(X58))^5)-(SIN(RADIANS(X57))^5))*(0.000206269473292),AA57*60)))</f>
        <v/>
      </c>
      <c r="AE57" s="97" t="str">
        <f t="shared" ref="AE57:AE74" si="63">IF(X58="","",IF(AA57&lt;0,360+DEGREES(ATAN2(Z57,AA57*COS(RADIANS((X58+X57)/2)))),DEGREES(ATAN2(Z57,AA57*COS(RADIANS((X58+X57)/2))))))</f>
        <v/>
      </c>
      <c r="AF57" s="19" t="str">
        <f t="shared" ref="AF57:AF74" si="64">IF(X58="","",IF(AA57&lt;0,360+DEGREES(ATAN2(AB57,AA57*60)),DEGREES(ATAN2(AB57,AA57*60))))</f>
        <v/>
      </c>
      <c r="AG57" s="19" t="str">
        <f t="shared" si="18"/>
        <v/>
      </c>
      <c r="AH57" s="19" t="str">
        <f t="shared" ref="AH57:AH74" si="65">IF(X58="","",IF(AA57&lt;0,360+DEGREES(ATAN2(AC57,(AA57*60))),DEGREES(ATAN2(AC57,(AA57*60)))))</f>
        <v/>
      </c>
      <c r="AI57" s="43" t="str">
        <f t="shared" ref="AI57:AI74" si="66">IF(AA57&lt;0,360+AD57,AD57)</f>
        <v/>
      </c>
      <c r="AJ57" s="98" t="str">
        <f t="shared" ref="AJ57:AJ74" si="67">IF(X58="","",IF(Z57=0,(AA57*COS(RADIANS((X58+X57)/2)))*60/SIN(RADIANS(AE57)),Z57*60/COS(RADIANS(AE57))))</f>
        <v/>
      </c>
      <c r="AK57" s="9" t="str">
        <f t="shared" ref="AK57:AK74" si="68">IF(X58="","",ABS(IF(Z57=0,(AA57)*60*COS(RADIANS(X57)),IF(AA57=0,(Z57*60),(Z57/COS(RADIANS(AF57)))*60))))</f>
        <v/>
      </c>
      <c r="AL57" s="9" t="str">
        <f t="shared" si="23"/>
        <v/>
      </c>
      <c r="AM57" s="9" t="str">
        <f t="shared" ref="AM57:AM74" si="69">IF(X58="","",ABS(IF(Z57=0,AA57*60*COS(RADIANS(X58)),(Z57/COS(RADIANS(AH57)))*60)))</f>
        <v/>
      </c>
      <c r="AN57" s="51" t="str">
        <f t="shared" ref="AN57:AN74" si="70">IF(X58="","",IF(Z57=0,ABS(AA57*60*COS(((ATAN(TAN(RADIANS(X58))*(1-0.08181919034^2)^0.5))))*1.001795274),IF(AA57=0,ABS(((60.006994*Z57)-8.660102*(SIN(RADIANS((2*X58)))-SIN(RADIANS((2*X57)))))),ABS((((60.006994*Z57)-8.660102*(SIN(RADIANS((2*X58)))-SIN(RADIANS((2*X57))))))/COS(RADIANS(AI57))))))</f>
        <v/>
      </c>
      <c r="AO57" s="98" t="str">
        <f t="shared" ref="AO57:AO74" si="71">HLOOKUP($C$11,$AE$24:$AI$75,P57+1)</f>
        <v/>
      </c>
      <c r="AP57" s="103" t="str">
        <f t="shared" ref="AP57:AP74" si="72">IF(X58="","",IF($D$11=3,ROUND(AO57,),IF($D$11=2,0.5*ROUND(AO57/0.5,),ROUND(AO57,1))))</f>
        <v/>
      </c>
      <c r="AQ57" s="98" t="str">
        <f t="shared" si="26"/>
        <v/>
      </c>
      <c r="AR57" s="9" t="str">
        <f t="shared" si="27"/>
        <v/>
      </c>
      <c r="AS57" s="19" t="str">
        <f t="shared" si="28"/>
        <v/>
      </c>
      <c r="AT57" s="9" t="str">
        <f t="shared" si="29"/>
        <v/>
      </c>
      <c r="AU57" s="84" t="str">
        <f t="shared" si="30"/>
        <v/>
      </c>
      <c r="AV57" s="106" t="str">
        <f t="shared" ref="AV57:AV74" si="73">IF($E$11=1,HLOOKUP($C$11,$AQ$24:$AU$75,P57+1),HLOOKUP($C$11,$AJ$24:$AN$75,P57+1))</f>
        <v/>
      </c>
      <c r="AW57" s="112" t="str">
        <f t="shared" si="31"/>
        <v/>
      </c>
      <c r="AX57" s="107" t="str">
        <f t="shared" si="32"/>
        <v/>
      </c>
      <c r="AY57" s="108" t="str">
        <f t="shared" si="33"/>
        <v/>
      </c>
      <c r="AZ57" s="56" t="str">
        <f t="shared" si="34"/>
        <v/>
      </c>
      <c r="BA57" s="51" t="str">
        <f t="shared" si="43"/>
        <v/>
      </c>
      <c r="BC57" s="61" t="str">
        <f t="shared" si="44"/>
        <v/>
      </c>
      <c r="BD57" s="56">
        <f t="shared" si="57"/>
        <v>95</v>
      </c>
      <c r="BE57" s="32">
        <f t="shared" si="58"/>
        <v>-11.333333333333336</v>
      </c>
      <c r="BH57" s="32">
        <f t="shared" si="47"/>
        <v>95</v>
      </c>
      <c r="BI57">
        <f t="shared" si="48"/>
        <v>42.72711060665096</v>
      </c>
    </row>
    <row r="58" spans="1:61">
      <c r="A58" s="42">
        <v>34</v>
      </c>
      <c r="B58" s="33">
        <f t="shared" si="35"/>
        <v>-55</v>
      </c>
      <c r="C58" s="77" t="str">
        <f t="shared" ref="C58:C75" si="74">IF(OR(C57="",C57=$C$15),"",IF(B58=$I$16,$I$16,IF(C57=$I$16,$C$15,B58)))</f>
        <v/>
      </c>
      <c r="D58" s="33" t="str">
        <f t="shared" ref="D58:D75" si="75">IF(OR(D57="",D57=$C$15),"",IF(D57=$W$16,$T$16,IF(D57=$T$16,$T$17,IF(D57=$T$17,$W$17,VLOOKUP(MATCH(D57,$C$25:$C$75,0)+1,$A$25:$C$75,3)))))</f>
        <v/>
      </c>
      <c r="E58" s="43"/>
      <c r="F58" s="42">
        <v>34</v>
      </c>
      <c r="G58" s="9">
        <f t="shared" ref="G58:G75" si="76">IF($E$14&gt;0,IF(G57+$G$24&gt;180,G57+$G$24-360,IF(G57+$G$24&lt;-180,G57+$G$24+360,G57+$G$24)),IF(G57-$G$24&gt;180,G57-$G$24-360,IF(G57-$G$24&lt;-180,G57-$G$24+360,G57-$G$24)))</f>
        <v>-155.74999999999997</v>
      </c>
      <c r="H58" s="9" t="str">
        <f t="shared" si="36"/>
        <v/>
      </c>
      <c r="I58" s="72" t="str">
        <f t="shared" si="59"/>
        <v/>
      </c>
      <c r="J58" s="84" t="str">
        <f t="shared" ref="J58:J75" si="77">IF(I58="","",IF($G$12="X",H58,(TRUNC(I58/100)+(ROUND(((I58/100-TRUNC(I58/100))*100)/$G$12,)*$G$12)/60)))</f>
        <v/>
      </c>
      <c r="K58" s="81">
        <v>34</v>
      </c>
      <c r="L58" s="9" t="str">
        <f t="shared" si="49"/>
        <v/>
      </c>
      <c r="M58" s="9" t="str">
        <f t="shared" si="52"/>
        <v/>
      </c>
      <c r="N58" s="32" t="str">
        <f t="shared" si="50"/>
        <v/>
      </c>
      <c r="O58" s="32" t="str">
        <f t="shared" si="38"/>
        <v/>
      </c>
      <c r="P58">
        <v>34</v>
      </c>
      <c r="Q58" s="9" t="str">
        <f t="shared" si="51"/>
        <v/>
      </c>
      <c r="R58" s="200" t="str">
        <f t="shared" si="7"/>
        <v/>
      </c>
      <c r="S58" s="56" t="str">
        <f t="shared" si="54"/>
        <v/>
      </c>
      <c r="T58" s="87" t="e">
        <f t="shared" si="39"/>
        <v>#N/A</v>
      </c>
      <c r="U58" s="33" t="e">
        <f t="shared" si="53"/>
        <v>#N/A</v>
      </c>
      <c r="V58" s="89" t="e">
        <f t="shared" si="40"/>
        <v>#N/A</v>
      </c>
      <c r="W58" s="84" t="e">
        <f t="shared" ref="W58:W75" si="78">IF(U58="","",VLOOKUP(U58,$K$25:$L$75,2))</f>
        <v>#N/A</v>
      </c>
      <c r="X58" s="91" t="str">
        <f t="shared" ref="X58:X75" si="79">IF(OR(AND($A$11=4,$AB$18=2),AND($A$11=3,$T$23=2)),"",IF($A$11=3,V58,S58))</f>
        <v/>
      </c>
      <c r="Y58" s="56" t="str">
        <f t="shared" ref="Y58:Y75" si="80">IF(OR(AND($A$11=4,$AB$18=2),AND($A$11=3,$T$23=2)),"",IF($A$11=3,W58,L58))</f>
        <v/>
      </c>
      <c r="Z58" s="9" t="str">
        <f t="shared" si="12"/>
        <v/>
      </c>
      <c r="AA58" s="43" t="str">
        <f t="shared" si="13"/>
        <v/>
      </c>
      <c r="AB58" s="98" t="str">
        <f t="shared" si="60"/>
        <v/>
      </c>
      <c r="AC58" s="9" t="str">
        <f t="shared" si="61"/>
        <v/>
      </c>
      <c r="AD58" s="43" t="str">
        <f t="shared" si="62"/>
        <v/>
      </c>
      <c r="AE58" s="97" t="str">
        <f t="shared" si="63"/>
        <v/>
      </c>
      <c r="AF58" s="19" t="str">
        <f t="shared" si="64"/>
        <v/>
      </c>
      <c r="AG58" s="19" t="str">
        <f t="shared" si="18"/>
        <v/>
      </c>
      <c r="AH58" s="19" t="str">
        <f t="shared" si="65"/>
        <v/>
      </c>
      <c r="AI58" s="43" t="str">
        <f t="shared" si="66"/>
        <v/>
      </c>
      <c r="AJ58" s="98" t="str">
        <f t="shared" si="67"/>
        <v/>
      </c>
      <c r="AK58" s="9" t="str">
        <f t="shared" si="68"/>
        <v/>
      </c>
      <c r="AL58" s="9" t="str">
        <f t="shared" si="23"/>
        <v/>
      </c>
      <c r="AM58" s="9" t="str">
        <f t="shared" si="69"/>
        <v/>
      </c>
      <c r="AN58" s="51" t="str">
        <f t="shared" si="70"/>
        <v/>
      </c>
      <c r="AO58" s="98" t="str">
        <f t="shared" si="71"/>
        <v/>
      </c>
      <c r="AP58" s="103" t="str">
        <f t="shared" si="72"/>
        <v/>
      </c>
      <c r="AQ58" s="98" t="str">
        <f t="shared" si="26"/>
        <v/>
      </c>
      <c r="AR58" s="9" t="str">
        <f t="shared" si="27"/>
        <v/>
      </c>
      <c r="AS58" s="19" t="str">
        <f t="shared" si="28"/>
        <v/>
      </c>
      <c r="AT58" s="9" t="str">
        <f t="shared" si="29"/>
        <v/>
      </c>
      <c r="AU58" s="84" t="str">
        <f t="shared" si="30"/>
        <v/>
      </c>
      <c r="AV58" s="106" t="str">
        <f t="shared" si="73"/>
        <v/>
      </c>
      <c r="AW58" s="112" t="str">
        <f t="shared" si="31"/>
        <v/>
      </c>
      <c r="AX58" s="107" t="str">
        <f t="shared" si="32"/>
        <v/>
      </c>
      <c r="AY58" s="108" t="str">
        <f t="shared" si="33"/>
        <v/>
      </c>
      <c r="AZ58" s="56" t="str">
        <f t="shared" si="34"/>
        <v/>
      </c>
      <c r="BA58" s="51" t="str">
        <f t="shared" si="43"/>
        <v/>
      </c>
      <c r="BC58" s="61" t="str">
        <f t="shared" si="44"/>
        <v/>
      </c>
      <c r="BD58" s="56">
        <f t="shared" si="57"/>
        <v>95</v>
      </c>
      <c r="BE58" s="32">
        <f t="shared" si="58"/>
        <v>-11.333333333333336</v>
      </c>
      <c r="BH58" s="32">
        <f t="shared" si="47"/>
        <v>95</v>
      </c>
      <c r="BI58">
        <f t="shared" si="48"/>
        <v>42.72711060665096</v>
      </c>
    </row>
    <row r="59" spans="1:61">
      <c r="A59" s="42">
        <v>35</v>
      </c>
      <c r="B59" s="33">
        <f t="shared" ref="B59:B75" si="81">IF($E$14&gt;0,IF(B58+$I$14&gt;180,B58+$I$14-360,IF(B58+$I$14&lt;-180,B58+$I$14+360,B58+$I$14)),IF(B58-$I$14&gt;180,B58-$I$14-360,IF(B58-$I$14&lt;-180,B58-$I$14+360,B58-$I$14)))</f>
        <v>-50</v>
      </c>
      <c r="C59" s="77" t="str">
        <f t="shared" si="74"/>
        <v/>
      </c>
      <c r="D59" s="33" t="str">
        <f t="shared" si="75"/>
        <v/>
      </c>
      <c r="E59" s="43"/>
      <c r="F59" s="42">
        <v>35</v>
      </c>
      <c r="G59" s="9">
        <f t="shared" si="76"/>
        <v>-131.99999999999997</v>
      </c>
      <c r="H59" s="9" t="str">
        <f t="shared" si="36"/>
        <v/>
      </c>
      <c r="I59" s="72" t="str">
        <f t="shared" si="59"/>
        <v/>
      </c>
      <c r="J59" s="84" t="str">
        <f t="shared" si="77"/>
        <v/>
      </c>
      <c r="K59" s="81">
        <v>35</v>
      </c>
      <c r="L59" s="9" t="str">
        <f t="shared" si="49"/>
        <v/>
      </c>
      <c r="M59" s="9" t="str">
        <f t="shared" si="52"/>
        <v/>
      </c>
      <c r="N59" s="32" t="str">
        <f t="shared" si="50"/>
        <v/>
      </c>
      <c r="O59" s="32" t="str">
        <f t="shared" si="38"/>
        <v/>
      </c>
      <c r="P59">
        <v>35</v>
      </c>
      <c r="Q59" s="9" t="str">
        <f t="shared" si="51"/>
        <v/>
      </c>
      <c r="R59" s="200" t="str">
        <f t="shared" si="7"/>
        <v/>
      </c>
      <c r="S59" s="56" t="str">
        <f t="shared" si="54"/>
        <v/>
      </c>
      <c r="T59" s="87" t="e">
        <f t="shared" si="39"/>
        <v>#N/A</v>
      </c>
      <c r="U59" s="33" t="e">
        <f t="shared" si="53"/>
        <v>#N/A</v>
      </c>
      <c r="V59" s="89" t="e">
        <f t="shared" si="40"/>
        <v>#N/A</v>
      </c>
      <c r="W59" s="84" t="e">
        <f t="shared" si="78"/>
        <v>#N/A</v>
      </c>
      <c r="X59" s="91" t="str">
        <f t="shared" si="79"/>
        <v/>
      </c>
      <c r="Y59" s="56" t="str">
        <f t="shared" si="80"/>
        <v/>
      </c>
      <c r="Z59" s="9" t="str">
        <f t="shared" si="12"/>
        <v/>
      </c>
      <c r="AA59" s="43" t="str">
        <f t="shared" si="13"/>
        <v/>
      </c>
      <c r="AB59" s="98" t="str">
        <f t="shared" si="60"/>
        <v/>
      </c>
      <c r="AC59" s="9" t="str">
        <f t="shared" si="61"/>
        <v/>
      </c>
      <c r="AD59" s="43" t="str">
        <f t="shared" si="62"/>
        <v/>
      </c>
      <c r="AE59" s="97" t="str">
        <f t="shared" si="63"/>
        <v/>
      </c>
      <c r="AF59" s="19" t="str">
        <f t="shared" si="64"/>
        <v/>
      </c>
      <c r="AG59" s="19" t="str">
        <f t="shared" si="18"/>
        <v/>
      </c>
      <c r="AH59" s="19" t="str">
        <f t="shared" si="65"/>
        <v/>
      </c>
      <c r="AI59" s="43" t="str">
        <f t="shared" si="66"/>
        <v/>
      </c>
      <c r="AJ59" s="98" t="str">
        <f t="shared" si="67"/>
        <v/>
      </c>
      <c r="AK59" s="9" t="str">
        <f t="shared" si="68"/>
        <v/>
      </c>
      <c r="AL59" s="9" t="str">
        <f t="shared" si="23"/>
        <v/>
      </c>
      <c r="AM59" s="9" t="str">
        <f t="shared" si="69"/>
        <v/>
      </c>
      <c r="AN59" s="51" t="str">
        <f t="shared" si="70"/>
        <v/>
      </c>
      <c r="AO59" s="98" t="str">
        <f t="shared" si="71"/>
        <v/>
      </c>
      <c r="AP59" s="103" t="str">
        <f t="shared" si="72"/>
        <v/>
      </c>
      <c r="AQ59" s="98" t="str">
        <f t="shared" si="26"/>
        <v/>
      </c>
      <c r="AR59" s="9" t="str">
        <f t="shared" si="27"/>
        <v/>
      </c>
      <c r="AS59" s="19" t="str">
        <f t="shared" si="28"/>
        <v/>
      </c>
      <c r="AT59" s="9" t="str">
        <f t="shared" si="29"/>
        <v/>
      </c>
      <c r="AU59" s="84" t="str">
        <f t="shared" si="30"/>
        <v/>
      </c>
      <c r="AV59" s="106" t="str">
        <f t="shared" si="73"/>
        <v/>
      </c>
      <c r="AW59" s="112" t="str">
        <f t="shared" si="31"/>
        <v/>
      </c>
      <c r="AX59" s="107" t="str">
        <f t="shared" si="32"/>
        <v/>
      </c>
      <c r="AY59" s="108" t="str">
        <f t="shared" si="33"/>
        <v/>
      </c>
      <c r="AZ59" s="56" t="str">
        <f t="shared" si="34"/>
        <v/>
      </c>
      <c r="BA59" s="51" t="str">
        <f t="shared" si="43"/>
        <v/>
      </c>
      <c r="BC59" s="61" t="str">
        <f t="shared" si="44"/>
        <v/>
      </c>
      <c r="BD59" s="56">
        <f t="shared" si="57"/>
        <v>95</v>
      </c>
      <c r="BE59" s="32">
        <f t="shared" si="58"/>
        <v>-11.333333333333336</v>
      </c>
      <c r="BH59" s="32">
        <f t="shared" si="47"/>
        <v>95</v>
      </c>
      <c r="BI59">
        <f t="shared" si="48"/>
        <v>42.72711060665096</v>
      </c>
    </row>
    <row r="60" spans="1:61">
      <c r="A60" s="42">
        <v>36</v>
      </c>
      <c r="B60" s="33">
        <f t="shared" si="81"/>
        <v>-45</v>
      </c>
      <c r="C60" s="77" t="str">
        <f t="shared" si="74"/>
        <v/>
      </c>
      <c r="D60" s="33" t="str">
        <f t="shared" si="75"/>
        <v/>
      </c>
      <c r="E60" s="43"/>
      <c r="F60" s="42">
        <v>36</v>
      </c>
      <c r="G60" s="9">
        <f t="shared" si="76"/>
        <v>-108.24999999999997</v>
      </c>
      <c r="H60" s="9" t="str">
        <f t="shared" si="36"/>
        <v/>
      </c>
      <c r="I60" s="72" t="str">
        <f t="shared" si="59"/>
        <v/>
      </c>
      <c r="J60" s="84" t="str">
        <f t="shared" si="77"/>
        <v/>
      </c>
      <c r="K60" s="81">
        <v>36</v>
      </c>
      <c r="L60" s="9" t="str">
        <f t="shared" si="49"/>
        <v/>
      </c>
      <c r="M60" s="9" t="str">
        <f t="shared" si="52"/>
        <v/>
      </c>
      <c r="N60" s="32" t="str">
        <f t="shared" si="50"/>
        <v/>
      </c>
      <c r="O60" s="32" t="str">
        <f t="shared" si="38"/>
        <v/>
      </c>
      <c r="P60">
        <v>36</v>
      </c>
      <c r="Q60" s="9" t="str">
        <f t="shared" si="51"/>
        <v/>
      </c>
      <c r="R60" s="200" t="str">
        <f t="shared" si="7"/>
        <v/>
      </c>
      <c r="S60" s="56" t="str">
        <f t="shared" si="54"/>
        <v/>
      </c>
      <c r="T60" s="87" t="e">
        <f t="shared" si="39"/>
        <v>#N/A</v>
      </c>
      <c r="U60" s="33" t="e">
        <f t="shared" si="53"/>
        <v>#N/A</v>
      </c>
      <c r="V60" s="89" t="e">
        <f t="shared" si="40"/>
        <v>#N/A</v>
      </c>
      <c r="W60" s="84" t="e">
        <f t="shared" si="78"/>
        <v>#N/A</v>
      </c>
      <c r="X60" s="91" t="str">
        <f t="shared" si="79"/>
        <v/>
      </c>
      <c r="Y60" s="56" t="str">
        <f t="shared" si="80"/>
        <v/>
      </c>
      <c r="Z60" s="9" t="str">
        <f t="shared" si="12"/>
        <v/>
      </c>
      <c r="AA60" s="43" t="str">
        <f t="shared" si="13"/>
        <v/>
      </c>
      <c r="AB60" s="98" t="str">
        <f t="shared" si="60"/>
        <v/>
      </c>
      <c r="AC60" s="9" t="str">
        <f t="shared" si="61"/>
        <v/>
      </c>
      <c r="AD60" s="43" t="str">
        <f t="shared" si="62"/>
        <v/>
      </c>
      <c r="AE60" s="97" t="str">
        <f t="shared" si="63"/>
        <v/>
      </c>
      <c r="AF60" s="19" t="str">
        <f t="shared" si="64"/>
        <v/>
      </c>
      <c r="AG60" s="19" t="str">
        <f t="shared" si="18"/>
        <v/>
      </c>
      <c r="AH60" s="19" t="str">
        <f t="shared" si="65"/>
        <v/>
      </c>
      <c r="AI60" s="43" t="str">
        <f t="shared" si="66"/>
        <v/>
      </c>
      <c r="AJ60" s="98" t="str">
        <f t="shared" si="67"/>
        <v/>
      </c>
      <c r="AK60" s="9" t="str">
        <f t="shared" si="68"/>
        <v/>
      </c>
      <c r="AL60" s="9" t="str">
        <f t="shared" si="23"/>
        <v/>
      </c>
      <c r="AM60" s="9" t="str">
        <f t="shared" si="69"/>
        <v/>
      </c>
      <c r="AN60" s="51" t="str">
        <f t="shared" si="70"/>
        <v/>
      </c>
      <c r="AO60" s="98" t="str">
        <f t="shared" si="71"/>
        <v/>
      </c>
      <c r="AP60" s="103" t="str">
        <f t="shared" si="72"/>
        <v/>
      </c>
      <c r="AQ60" s="98" t="str">
        <f t="shared" si="26"/>
        <v/>
      </c>
      <c r="AR60" s="9" t="str">
        <f t="shared" si="27"/>
        <v/>
      </c>
      <c r="AS60" s="19" t="str">
        <f t="shared" si="28"/>
        <v/>
      </c>
      <c r="AT60" s="9" t="str">
        <f t="shared" si="29"/>
        <v/>
      </c>
      <c r="AU60" s="84" t="str">
        <f t="shared" si="30"/>
        <v/>
      </c>
      <c r="AV60" s="106" t="str">
        <f t="shared" si="73"/>
        <v/>
      </c>
      <c r="AW60" s="112" t="str">
        <f t="shared" si="31"/>
        <v/>
      </c>
      <c r="AX60" s="107" t="str">
        <f t="shared" si="32"/>
        <v/>
      </c>
      <c r="AY60" s="108" t="str">
        <f t="shared" si="33"/>
        <v/>
      </c>
      <c r="AZ60" s="56" t="str">
        <f t="shared" si="34"/>
        <v/>
      </c>
      <c r="BA60" s="51" t="str">
        <f t="shared" si="43"/>
        <v/>
      </c>
      <c r="BC60" s="61" t="str">
        <f t="shared" si="44"/>
        <v/>
      </c>
      <c r="BD60" s="56">
        <f t="shared" si="57"/>
        <v>95</v>
      </c>
      <c r="BE60" s="32">
        <f t="shared" si="58"/>
        <v>-11.333333333333336</v>
      </c>
      <c r="BH60" s="32">
        <f t="shared" si="47"/>
        <v>95</v>
      </c>
      <c r="BI60">
        <f t="shared" si="48"/>
        <v>42.72711060665096</v>
      </c>
    </row>
    <row r="61" spans="1:61">
      <c r="A61" s="42">
        <v>37</v>
      </c>
      <c r="B61" s="33">
        <f t="shared" si="81"/>
        <v>-40</v>
      </c>
      <c r="C61" s="77" t="str">
        <f t="shared" si="74"/>
        <v/>
      </c>
      <c r="D61" s="33" t="str">
        <f t="shared" si="75"/>
        <v/>
      </c>
      <c r="E61" s="43"/>
      <c r="F61" s="42">
        <v>37</v>
      </c>
      <c r="G61" s="9">
        <f t="shared" si="76"/>
        <v>-84.499999999999972</v>
      </c>
      <c r="H61" s="9" t="str">
        <f t="shared" si="36"/>
        <v/>
      </c>
      <c r="I61" s="72" t="str">
        <f t="shared" si="59"/>
        <v/>
      </c>
      <c r="J61" s="84" t="str">
        <f t="shared" si="77"/>
        <v/>
      </c>
      <c r="K61" s="81">
        <v>37</v>
      </c>
      <c r="L61" s="9" t="str">
        <f t="shared" si="49"/>
        <v/>
      </c>
      <c r="M61" s="9" t="str">
        <f t="shared" si="52"/>
        <v/>
      </c>
      <c r="N61" s="32" t="str">
        <f t="shared" si="50"/>
        <v/>
      </c>
      <c r="O61" s="32" t="str">
        <f t="shared" si="38"/>
        <v/>
      </c>
      <c r="P61">
        <v>37</v>
      </c>
      <c r="Q61" s="9" t="str">
        <f t="shared" si="51"/>
        <v/>
      </c>
      <c r="R61" s="200" t="str">
        <f t="shared" si="7"/>
        <v/>
      </c>
      <c r="S61" s="56" t="str">
        <f t="shared" si="54"/>
        <v/>
      </c>
      <c r="T61" s="87" t="e">
        <f t="shared" si="39"/>
        <v>#N/A</v>
      </c>
      <c r="U61" s="33" t="e">
        <f t="shared" si="53"/>
        <v>#N/A</v>
      </c>
      <c r="V61" s="89" t="e">
        <f t="shared" si="40"/>
        <v>#N/A</v>
      </c>
      <c r="W61" s="84" t="e">
        <f t="shared" si="78"/>
        <v>#N/A</v>
      </c>
      <c r="X61" s="91" t="str">
        <f t="shared" si="79"/>
        <v/>
      </c>
      <c r="Y61" s="56" t="str">
        <f t="shared" si="80"/>
        <v/>
      </c>
      <c r="Z61" s="9" t="str">
        <f t="shared" si="12"/>
        <v/>
      </c>
      <c r="AA61" s="43" t="str">
        <f t="shared" si="13"/>
        <v/>
      </c>
      <c r="AB61" s="98" t="str">
        <f t="shared" si="60"/>
        <v/>
      </c>
      <c r="AC61" s="9" t="str">
        <f t="shared" si="61"/>
        <v/>
      </c>
      <c r="AD61" s="43" t="str">
        <f t="shared" si="62"/>
        <v/>
      </c>
      <c r="AE61" s="97" t="str">
        <f t="shared" si="63"/>
        <v/>
      </c>
      <c r="AF61" s="19" t="str">
        <f t="shared" si="64"/>
        <v/>
      </c>
      <c r="AG61" s="19" t="str">
        <f t="shared" si="18"/>
        <v/>
      </c>
      <c r="AH61" s="19" t="str">
        <f t="shared" si="65"/>
        <v/>
      </c>
      <c r="AI61" s="43" t="str">
        <f t="shared" si="66"/>
        <v/>
      </c>
      <c r="AJ61" s="98" t="str">
        <f t="shared" si="67"/>
        <v/>
      </c>
      <c r="AK61" s="9" t="str">
        <f t="shared" si="68"/>
        <v/>
      </c>
      <c r="AL61" s="9" t="str">
        <f t="shared" si="23"/>
        <v/>
      </c>
      <c r="AM61" s="9" t="str">
        <f t="shared" si="69"/>
        <v/>
      </c>
      <c r="AN61" s="51" t="str">
        <f t="shared" si="70"/>
        <v/>
      </c>
      <c r="AO61" s="98" t="str">
        <f t="shared" si="71"/>
        <v/>
      </c>
      <c r="AP61" s="103" t="str">
        <f t="shared" si="72"/>
        <v/>
      </c>
      <c r="AQ61" s="98" t="str">
        <f t="shared" si="26"/>
        <v/>
      </c>
      <c r="AR61" s="9" t="str">
        <f t="shared" si="27"/>
        <v/>
      </c>
      <c r="AS61" s="19" t="str">
        <f t="shared" si="28"/>
        <v/>
      </c>
      <c r="AT61" s="9" t="str">
        <f t="shared" si="29"/>
        <v/>
      </c>
      <c r="AU61" s="84" t="str">
        <f t="shared" si="30"/>
        <v/>
      </c>
      <c r="AV61" s="106" t="str">
        <f t="shared" si="73"/>
        <v/>
      </c>
      <c r="AW61" s="112" t="str">
        <f t="shared" si="31"/>
        <v/>
      </c>
      <c r="AX61" s="107" t="str">
        <f t="shared" si="32"/>
        <v/>
      </c>
      <c r="AY61" s="108" t="str">
        <f t="shared" si="33"/>
        <v/>
      </c>
      <c r="AZ61" s="56" t="str">
        <f t="shared" si="34"/>
        <v/>
      </c>
      <c r="BA61" s="51" t="str">
        <f t="shared" si="43"/>
        <v/>
      </c>
      <c r="BC61" s="61" t="str">
        <f t="shared" si="44"/>
        <v/>
      </c>
      <c r="BD61" s="56">
        <f t="shared" si="57"/>
        <v>95</v>
      </c>
      <c r="BE61" s="32">
        <f t="shared" si="58"/>
        <v>-11.333333333333336</v>
      </c>
      <c r="BH61" s="32">
        <f t="shared" si="47"/>
        <v>95</v>
      </c>
      <c r="BI61">
        <f t="shared" si="48"/>
        <v>42.72711060665096</v>
      </c>
    </row>
    <row r="62" spans="1:61">
      <c r="A62" s="42">
        <v>38</v>
      </c>
      <c r="B62" s="33">
        <f t="shared" si="81"/>
        <v>-35</v>
      </c>
      <c r="C62" s="77" t="str">
        <f t="shared" si="74"/>
        <v/>
      </c>
      <c r="D62" s="33" t="str">
        <f t="shared" si="75"/>
        <v/>
      </c>
      <c r="E62" s="43"/>
      <c r="F62" s="42">
        <v>38</v>
      </c>
      <c r="G62" s="9">
        <f t="shared" si="76"/>
        <v>-60.749999999999972</v>
      </c>
      <c r="H62" s="9" t="str">
        <f t="shared" si="36"/>
        <v/>
      </c>
      <c r="I62" s="72" t="str">
        <f t="shared" si="59"/>
        <v/>
      </c>
      <c r="J62" s="84" t="str">
        <f t="shared" si="77"/>
        <v/>
      </c>
      <c r="K62" s="81">
        <v>38</v>
      </c>
      <c r="L62" s="9" t="str">
        <f t="shared" si="49"/>
        <v/>
      </c>
      <c r="M62" s="9" t="str">
        <f t="shared" si="52"/>
        <v/>
      </c>
      <c r="N62" s="32" t="str">
        <f t="shared" si="50"/>
        <v/>
      </c>
      <c r="O62" s="32" t="str">
        <f t="shared" si="38"/>
        <v/>
      </c>
      <c r="P62">
        <v>38</v>
      </c>
      <c r="Q62" s="9" t="str">
        <f t="shared" si="51"/>
        <v/>
      </c>
      <c r="R62" s="200" t="str">
        <f t="shared" si="7"/>
        <v/>
      </c>
      <c r="S62" s="56" t="str">
        <f t="shared" si="54"/>
        <v/>
      </c>
      <c r="T62" s="87" t="e">
        <f t="shared" si="39"/>
        <v>#N/A</v>
      </c>
      <c r="U62" s="33" t="e">
        <f t="shared" si="53"/>
        <v>#N/A</v>
      </c>
      <c r="V62" s="89" t="e">
        <f t="shared" si="40"/>
        <v>#N/A</v>
      </c>
      <c r="W62" s="84" t="e">
        <f t="shared" si="78"/>
        <v>#N/A</v>
      </c>
      <c r="X62" s="91" t="str">
        <f t="shared" si="79"/>
        <v/>
      </c>
      <c r="Y62" s="56" t="str">
        <f t="shared" si="80"/>
        <v/>
      </c>
      <c r="Z62" s="9" t="str">
        <f t="shared" si="12"/>
        <v/>
      </c>
      <c r="AA62" s="43" t="str">
        <f t="shared" si="13"/>
        <v/>
      </c>
      <c r="AB62" s="98" t="str">
        <f t="shared" si="60"/>
        <v/>
      </c>
      <c r="AC62" s="9" t="str">
        <f t="shared" si="61"/>
        <v/>
      </c>
      <c r="AD62" s="43" t="str">
        <f t="shared" si="62"/>
        <v/>
      </c>
      <c r="AE62" s="97" t="str">
        <f t="shared" si="63"/>
        <v/>
      </c>
      <c r="AF62" s="19" t="str">
        <f t="shared" si="64"/>
        <v/>
      </c>
      <c r="AG62" s="19" t="str">
        <f t="shared" si="18"/>
        <v/>
      </c>
      <c r="AH62" s="19" t="str">
        <f t="shared" si="65"/>
        <v/>
      </c>
      <c r="AI62" s="43" t="str">
        <f t="shared" si="66"/>
        <v/>
      </c>
      <c r="AJ62" s="98" t="str">
        <f t="shared" si="67"/>
        <v/>
      </c>
      <c r="AK62" s="9" t="str">
        <f t="shared" si="68"/>
        <v/>
      </c>
      <c r="AL62" s="9" t="str">
        <f t="shared" si="23"/>
        <v/>
      </c>
      <c r="AM62" s="9" t="str">
        <f t="shared" si="69"/>
        <v/>
      </c>
      <c r="AN62" s="51" t="str">
        <f t="shared" si="70"/>
        <v/>
      </c>
      <c r="AO62" s="98" t="str">
        <f t="shared" si="71"/>
        <v/>
      </c>
      <c r="AP62" s="103" t="str">
        <f t="shared" si="72"/>
        <v/>
      </c>
      <c r="AQ62" s="98" t="str">
        <f t="shared" si="26"/>
        <v/>
      </c>
      <c r="AR62" s="9" t="str">
        <f t="shared" si="27"/>
        <v/>
      </c>
      <c r="AS62" s="19" t="str">
        <f t="shared" si="28"/>
        <v/>
      </c>
      <c r="AT62" s="9" t="str">
        <f t="shared" si="29"/>
        <v/>
      </c>
      <c r="AU62" s="84" t="str">
        <f t="shared" si="30"/>
        <v/>
      </c>
      <c r="AV62" s="106" t="str">
        <f t="shared" si="73"/>
        <v/>
      </c>
      <c r="AW62" s="112" t="str">
        <f t="shared" si="31"/>
        <v/>
      </c>
      <c r="AX62" s="107" t="str">
        <f t="shared" si="32"/>
        <v/>
      </c>
      <c r="AY62" s="108" t="str">
        <f t="shared" si="33"/>
        <v/>
      </c>
      <c r="AZ62" s="56" t="str">
        <f t="shared" si="34"/>
        <v/>
      </c>
      <c r="BA62" s="51" t="str">
        <f t="shared" si="43"/>
        <v/>
      </c>
      <c r="BC62" s="61" t="str">
        <f t="shared" si="44"/>
        <v/>
      </c>
      <c r="BD62" s="56">
        <f t="shared" si="57"/>
        <v>95</v>
      </c>
      <c r="BE62" s="32">
        <f t="shared" si="58"/>
        <v>-11.333333333333336</v>
      </c>
      <c r="BH62" s="32">
        <f t="shared" si="47"/>
        <v>95</v>
      </c>
      <c r="BI62">
        <f t="shared" si="48"/>
        <v>42.72711060665096</v>
      </c>
    </row>
    <row r="63" spans="1:61">
      <c r="A63" s="42">
        <v>39</v>
      </c>
      <c r="B63" s="33">
        <f t="shared" si="81"/>
        <v>-30</v>
      </c>
      <c r="C63" s="77" t="str">
        <f t="shared" si="74"/>
        <v/>
      </c>
      <c r="D63" s="33" t="str">
        <f t="shared" si="75"/>
        <v/>
      </c>
      <c r="E63" s="43"/>
      <c r="F63" s="42">
        <v>39</v>
      </c>
      <c r="G63" s="9">
        <f t="shared" si="76"/>
        <v>-36.999999999999972</v>
      </c>
      <c r="H63" s="9" t="str">
        <f t="shared" si="36"/>
        <v/>
      </c>
      <c r="I63" s="72" t="str">
        <f t="shared" si="59"/>
        <v/>
      </c>
      <c r="J63" s="84" t="str">
        <f t="shared" si="77"/>
        <v/>
      </c>
      <c r="K63" s="81">
        <v>39</v>
      </c>
      <c r="L63" s="9" t="str">
        <f t="shared" si="49"/>
        <v/>
      </c>
      <c r="M63" s="9" t="str">
        <f t="shared" si="52"/>
        <v/>
      </c>
      <c r="N63" s="32" t="str">
        <f t="shared" si="50"/>
        <v/>
      </c>
      <c r="O63" s="32" t="str">
        <f t="shared" si="38"/>
        <v/>
      </c>
      <c r="P63">
        <v>39</v>
      </c>
      <c r="Q63" s="9" t="str">
        <f t="shared" si="51"/>
        <v/>
      </c>
      <c r="R63" s="200" t="str">
        <f t="shared" si="7"/>
        <v/>
      </c>
      <c r="S63" s="56" t="str">
        <f t="shared" si="54"/>
        <v/>
      </c>
      <c r="T63" s="87" t="e">
        <f t="shared" si="39"/>
        <v>#N/A</v>
      </c>
      <c r="U63" s="33" t="e">
        <f t="shared" si="53"/>
        <v>#N/A</v>
      </c>
      <c r="V63" s="89" t="e">
        <f t="shared" si="40"/>
        <v>#N/A</v>
      </c>
      <c r="W63" s="84" t="e">
        <f t="shared" si="78"/>
        <v>#N/A</v>
      </c>
      <c r="X63" s="91" t="str">
        <f t="shared" si="79"/>
        <v/>
      </c>
      <c r="Y63" s="56" t="str">
        <f t="shared" si="80"/>
        <v/>
      </c>
      <c r="Z63" s="9" t="str">
        <f t="shared" si="12"/>
        <v/>
      </c>
      <c r="AA63" s="43" t="str">
        <f t="shared" si="13"/>
        <v/>
      </c>
      <c r="AB63" s="98" t="str">
        <f t="shared" si="60"/>
        <v/>
      </c>
      <c r="AC63" s="9" t="str">
        <f t="shared" si="61"/>
        <v/>
      </c>
      <c r="AD63" s="43" t="str">
        <f t="shared" si="62"/>
        <v/>
      </c>
      <c r="AE63" s="97" t="str">
        <f t="shared" si="63"/>
        <v/>
      </c>
      <c r="AF63" s="19" t="str">
        <f t="shared" si="64"/>
        <v/>
      </c>
      <c r="AG63" s="19" t="str">
        <f t="shared" si="18"/>
        <v/>
      </c>
      <c r="AH63" s="19" t="str">
        <f t="shared" si="65"/>
        <v/>
      </c>
      <c r="AI63" s="43" t="str">
        <f t="shared" si="66"/>
        <v/>
      </c>
      <c r="AJ63" s="98" t="str">
        <f t="shared" si="67"/>
        <v/>
      </c>
      <c r="AK63" s="9" t="str">
        <f t="shared" si="68"/>
        <v/>
      </c>
      <c r="AL63" s="9" t="str">
        <f t="shared" si="23"/>
        <v/>
      </c>
      <c r="AM63" s="9" t="str">
        <f t="shared" si="69"/>
        <v/>
      </c>
      <c r="AN63" s="51" t="str">
        <f t="shared" si="70"/>
        <v/>
      </c>
      <c r="AO63" s="98" t="str">
        <f t="shared" si="71"/>
        <v/>
      </c>
      <c r="AP63" s="103" t="str">
        <f t="shared" si="72"/>
        <v/>
      </c>
      <c r="AQ63" s="98" t="str">
        <f t="shared" si="26"/>
        <v/>
      </c>
      <c r="AR63" s="9" t="str">
        <f t="shared" si="27"/>
        <v/>
      </c>
      <c r="AS63" s="19" t="str">
        <f t="shared" si="28"/>
        <v/>
      </c>
      <c r="AT63" s="9" t="str">
        <f t="shared" si="29"/>
        <v/>
      </c>
      <c r="AU63" s="84" t="str">
        <f t="shared" si="30"/>
        <v/>
      </c>
      <c r="AV63" s="106" t="str">
        <f t="shared" si="73"/>
        <v/>
      </c>
      <c r="AW63" s="112" t="str">
        <f t="shared" si="31"/>
        <v/>
      </c>
      <c r="AX63" s="107" t="str">
        <f t="shared" si="32"/>
        <v/>
      </c>
      <c r="AY63" s="108" t="str">
        <f t="shared" si="33"/>
        <v/>
      </c>
      <c r="AZ63" s="56" t="str">
        <f t="shared" si="34"/>
        <v/>
      </c>
      <c r="BA63" s="51" t="str">
        <f t="shared" si="43"/>
        <v/>
      </c>
      <c r="BC63" s="61" t="str">
        <f t="shared" si="44"/>
        <v/>
      </c>
      <c r="BD63" s="56">
        <f t="shared" si="57"/>
        <v>95</v>
      </c>
      <c r="BE63" s="32">
        <f t="shared" si="58"/>
        <v>-11.333333333333336</v>
      </c>
      <c r="BH63" s="32">
        <f t="shared" si="47"/>
        <v>95</v>
      </c>
      <c r="BI63">
        <f t="shared" si="48"/>
        <v>42.72711060665096</v>
      </c>
    </row>
    <row r="64" spans="1:61">
      <c r="A64" s="42">
        <v>40</v>
      </c>
      <c r="B64" s="33">
        <f t="shared" si="81"/>
        <v>-25</v>
      </c>
      <c r="C64" s="77" t="str">
        <f t="shared" si="74"/>
        <v/>
      </c>
      <c r="D64" s="33" t="str">
        <f t="shared" si="75"/>
        <v/>
      </c>
      <c r="E64" s="43"/>
      <c r="F64" s="42">
        <v>40</v>
      </c>
      <c r="G64" s="9">
        <f t="shared" si="76"/>
        <v>-13.249999999999972</v>
      </c>
      <c r="H64" s="9" t="str">
        <f t="shared" si="36"/>
        <v/>
      </c>
      <c r="I64" s="72" t="str">
        <f t="shared" si="59"/>
        <v/>
      </c>
      <c r="J64" s="84" t="str">
        <f t="shared" si="77"/>
        <v/>
      </c>
      <c r="K64" s="81">
        <v>40</v>
      </c>
      <c r="L64" s="9" t="str">
        <f t="shared" si="49"/>
        <v/>
      </c>
      <c r="M64" s="9" t="str">
        <f t="shared" si="52"/>
        <v/>
      </c>
      <c r="N64" s="32" t="str">
        <f t="shared" si="50"/>
        <v/>
      </c>
      <c r="O64" s="32" t="str">
        <f t="shared" si="38"/>
        <v/>
      </c>
      <c r="P64">
        <v>40</v>
      </c>
      <c r="Q64" s="9" t="str">
        <f t="shared" si="51"/>
        <v/>
      </c>
      <c r="R64" s="200" t="str">
        <f t="shared" si="7"/>
        <v/>
      </c>
      <c r="S64" s="56" t="str">
        <f t="shared" si="54"/>
        <v/>
      </c>
      <c r="T64" s="87" t="e">
        <f t="shared" si="39"/>
        <v>#N/A</v>
      </c>
      <c r="U64" s="33" t="e">
        <f t="shared" si="53"/>
        <v>#N/A</v>
      </c>
      <c r="V64" s="89" t="e">
        <f t="shared" si="40"/>
        <v>#N/A</v>
      </c>
      <c r="W64" s="84" t="e">
        <f t="shared" si="78"/>
        <v>#N/A</v>
      </c>
      <c r="X64" s="91" t="str">
        <f t="shared" si="79"/>
        <v/>
      </c>
      <c r="Y64" s="56" t="str">
        <f t="shared" si="80"/>
        <v/>
      </c>
      <c r="Z64" s="9" t="str">
        <f t="shared" si="12"/>
        <v/>
      </c>
      <c r="AA64" s="43" t="str">
        <f t="shared" si="13"/>
        <v/>
      </c>
      <c r="AB64" s="98" t="str">
        <f t="shared" si="60"/>
        <v/>
      </c>
      <c r="AC64" s="9" t="str">
        <f t="shared" si="61"/>
        <v/>
      </c>
      <c r="AD64" s="43" t="str">
        <f t="shared" si="62"/>
        <v/>
      </c>
      <c r="AE64" s="97" t="str">
        <f t="shared" si="63"/>
        <v/>
      </c>
      <c r="AF64" s="19" t="str">
        <f t="shared" si="64"/>
        <v/>
      </c>
      <c r="AG64" s="19" t="str">
        <f t="shared" si="18"/>
        <v/>
      </c>
      <c r="AH64" s="19" t="str">
        <f t="shared" si="65"/>
        <v/>
      </c>
      <c r="AI64" s="43" t="str">
        <f t="shared" si="66"/>
        <v/>
      </c>
      <c r="AJ64" s="98" t="str">
        <f t="shared" si="67"/>
        <v/>
      </c>
      <c r="AK64" s="9" t="str">
        <f t="shared" si="68"/>
        <v/>
      </c>
      <c r="AL64" s="9" t="str">
        <f t="shared" si="23"/>
        <v/>
      </c>
      <c r="AM64" s="9" t="str">
        <f t="shared" si="69"/>
        <v/>
      </c>
      <c r="AN64" s="51" t="str">
        <f t="shared" si="70"/>
        <v/>
      </c>
      <c r="AO64" s="98" t="str">
        <f t="shared" si="71"/>
        <v/>
      </c>
      <c r="AP64" s="103" t="str">
        <f t="shared" si="72"/>
        <v/>
      </c>
      <c r="AQ64" s="98" t="str">
        <f t="shared" si="26"/>
        <v/>
      </c>
      <c r="AR64" s="9" t="str">
        <f t="shared" si="27"/>
        <v/>
      </c>
      <c r="AS64" s="19" t="str">
        <f t="shared" si="28"/>
        <v/>
      </c>
      <c r="AT64" s="9" t="str">
        <f t="shared" si="29"/>
        <v/>
      </c>
      <c r="AU64" s="84" t="str">
        <f t="shared" si="30"/>
        <v/>
      </c>
      <c r="AV64" s="106" t="str">
        <f t="shared" si="73"/>
        <v/>
      </c>
      <c r="AW64" s="112" t="str">
        <f t="shared" si="31"/>
        <v/>
      </c>
      <c r="AX64" s="107" t="str">
        <f t="shared" si="32"/>
        <v/>
      </c>
      <c r="AY64" s="108" t="str">
        <f t="shared" si="33"/>
        <v/>
      </c>
      <c r="AZ64" s="56" t="str">
        <f t="shared" si="34"/>
        <v/>
      </c>
      <c r="BA64" s="51" t="str">
        <f t="shared" si="43"/>
        <v/>
      </c>
      <c r="BC64" s="61" t="str">
        <f t="shared" si="44"/>
        <v/>
      </c>
      <c r="BD64" s="56">
        <f t="shared" si="57"/>
        <v>95</v>
      </c>
      <c r="BE64" s="32">
        <f t="shared" si="58"/>
        <v>-11.333333333333336</v>
      </c>
      <c r="BH64" s="32">
        <f t="shared" si="47"/>
        <v>95</v>
      </c>
      <c r="BI64">
        <f t="shared" si="48"/>
        <v>42.72711060665096</v>
      </c>
    </row>
    <row r="65" spans="1:61">
      <c r="A65" s="42">
        <v>41</v>
      </c>
      <c r="B65" s="33">
        <f t="shared" si="81"/>
        <v>-20</v>
      </c>
      <c r="C65" s="77" t="str">
        <f t="shared" si="74"/>
        <v/>
      </c>
      <c r="D65" s="33" t="str">
        <f t="shared" si="75"/>
        <v/>
      </c>
      <c r="E65" s="43"/>
      <c r="F65" s="42">
        <v>41</v>
      </c>
      <c r="G65" s="9">
        <f t="shared" si="76"/>
        <v>10.500000000000028</v>
      </c>
      <c r="H65" s="9" t="str">
        <f t="shared" si="36"/>
        <v/>
      </c>
      <c r="I65" s="72" t="str">
        <f t="shared" si="59"/>
        <v/>
      </c>
      <c r="J65" s="84" t="str">
        <f t="shared" si="77"/>
        <v/>
      </c>
      <c r="K65" s="81">
        <v>41</v>
      </c>
      <c r="L65" s="9" t="str">
        <f t="shared" si="49"/>
        <v/>
      </c>
      <c r="M65" s="9" t="str">
        <f t="shared" si="52"/>
        <v/>
      </c>
      <c r="N65" s="32" t="str">
        <f t="shared" si="50"/>
        <v/>
      </c>
      <c r="O65" s="32" t="str">
        <f t="shared" si="38"/>
        <v/>
      </c>
      <c r="P65">
        <v>41</v>
      </c>
      <c r="Q65" s="9" t="str">
        <f t="shared" si="51"/>
        <v/>
      </c>
      <c r="R65" s="200" t="str">
        <f t="shared" si="7"/>
        <v/>
      </c>
      <c r="S65" s="56" t="str">
        <f t="shared" si="54"/>
        <v/>
      </c>
      <c r="T65" s="87" t="e">
        <f t="shared" si="39"/>
        <v>#N/A</v>
      </c>
      <c r="U65" s="33" t="e">
        <f t="shared" si="53"/>
        <v>#N/A</v>
      </c>
      <c r="V65" s="89" t="e">
        <f t="shared" si="40"/>
        <v>#N/A</v>
      </c>
      <c r="W65" s="84" t="e">
        <f t="shared" si="78"/>
        <v>#N/A</v>
      </c>
      <c r="X65" s="91" t="str">
        <f t="shared" si="79"/>
        <v/>
      </c>
      <c r="Y65" s="56" t="str">
        <f t="shared" si="80"/>
        <v/>
      </c>
      <c r="Z65" s="9" t="str">
        <f t="shared" si="12"/>
        <v/>
      </c>
      <c r="AA65" s="43" t="str">
        <f t="shared" si="13"/>
        <v/>
      </c>
      <c r="AB65" s="98" t="str">
        <f t="shared" si="60"/>
        <v/>
      </c>
      <c r="AC65" s="9" t="str">
        <f t="shared" si="61"/>
        <v/>
      </c>
      <c r="AD65" s="43" t="str">
        <f t="shared" si="62"/>
        <v/>
      </c>
      <c r="AE65" s="97" t="str">
        <f t="shared" si="63"/>
        <v/>
      </c>
      <c r="AF65" s="19" t="str">
        <f t="shared" si="64"/>
        <v/>
      </c>
      <c r="AG65" s="19" t="str">
        <f t="shared" si="18"/>
        <v/>
      </c>
      <c r="AH65" s="19" t="str">
        <f t="shared" si="65"/>
        <v/>
      </c>
      <c r="AI65" s="43" t="str">
        <f t="shared" si="66"/>
        <v/>
      </c>
      <c r="AJ65" s="98" t="str">
        <f t="shared" si="67"/>
        <v/>
      </c>
      <c r="AK65" s="9" t="str">
        <f t="shared" si="68"/>
        <v/>
      </c>
      <c r="AL65" s="9" t="str">
        <f t="shared" si="23"/>
        <v/>
      </c>
      <c r="AM65" s="9" t="str">
        <f t="shared" si="69"/>
        <v/>
      </c>
      <c r="AN65" s="51" t="str">
        <f t="shared" si="70"/>
        <v/>
      </c>
      <c r="AO65" s="98" t="str">
        <f t="shared" si="71"/>
        <v/>
      </c>
      <c r="AP65" s="103" t="str">
        <f t="shared" si="72"/>
        <v/>
      </c>
      <c r="AQ65" s="98" t="str">
        <f t="shared" si="26"/>
        <v/>
      </c>
      <c r="AR65" s="9" t="str">
        <f t="shared" si="27"/>
        <v/>
      </c>
      <c r="AS65" s="19" t="str">
        <f t="shared" si="28"/>
        <v/>
      </c>
      <c r="AT65" s="9" t="str">
        <f t="shared" si="29"/>
        <v/>
      </c>
      <c r="AU65" s="84" t="str">
        <f t="shared" si="30"/>
        <v/>
      </c>
      <c r="AV65" s="106" t="str">
        <f t="shared" si="73"/>
        <v/>
      </c>
      <c r="AW65" s="112" t="str">
        <f t="shared" si="31"/>
        <v/>
      </c>
      <c r="AX65" s="107" t="str">
        <f t="shared" si="32"/>
        <v/>
      </c>
      <c r="AY65" s="108" t="str">
        <f t="shared" si="33"/>
        <v/>
      </c>
      <c r="AZ65" s="56" t="str">
        <f t="shared" si="34"/>
        <v/>
      </c>
      <c r="BA65" s="51" t="str">
        <f t="shared" si="43"/>
        <v/>
      </c>
      <c r="BC65" s="61" t="str">
        <f t="shared" si="44"/>
        <v/>
      </c>
      <c r="BD65" s="56">
        <f t="shared" si="57"/>
        <v>95</v>
      </c>
      <c r="BE65" s="32">
        <f t="shared" si="58"/>
        <v>-11.333333333333336</v>
      </c>
      <c r="BH65" s="32">
        <f t="shared" si="47"/>
        <v>95</v>
      </c>
      <c r="BI65">
        <f t="shared" si="48"/>
        <v>42.72711060665096</v>
      </c>
    </row>
    <row r="66" spans="1:61">
      <c r="A66" s="42">
        <v>42</v>
      </c>
      <c r="B66" s="33">
        <f t="shared" si="81"/>
        <v>-15</v>
      </c>
      <c r="C66" s="77" t="str">
        <f t="shared" si="74"/>
        <v/>
      </c>
      <c r="D66" s="33" t="str">
        <f t="shared" si="75"/>
        <v/>
      </c>
      <c r="E66" s="43"/>
      <c r="F66" s="42">
        <v>42</v>
      </c>
      <c r="G66" s="9">
        <f t="shared" si="76"/>
        <v>34.250000000000028</v>
      </c>
      <c r="H66" s="9" t="str">
        <f t="shared" si="36"/>
        <v/>
      </c>
      <c r="I66" s="72" t="str">
        <f t="shared" si="59"/>
        <v/>
      </c>
      <c r="J66" s="84" t="str">
        <f t="shared" si="77"/>
        <v/>
      </c>
      <c r="K66" s="81">
        <v>42</v>
      </c>
      <c r="L66" s="9" t="str">
        <f t="shared" si="49"/>
        <v/>
      </c>
      <c r="M66" s="9" t="str">
        <f t="shared" si="52"/>
        <v/>
      </c>
      <c r="N66" s="32" t="str">
        <f t="shared" si="50"/>
        <v/>
      </c>
      <c r="O66" s="32" t="str">
        <f t="shared" si="38"/>
        <v/>
      </c>
      <c r="P66">
        <v>42</v>
      </c>
      <c r="Q66" s="9" t="str">
        <f t="shared" si="51"/>
        <v/>
      </c>
      <c r="R66" s="200" t="str">
        <f t="shared" si="7"/>
        <v/>
      </c>
      <c r="S66" s="56" t="str">
        <f t="shared" si="54"/>
        <v/>
      </c>
      <c r="T66" s="87" t="e">
        <f t="shared" si="39"/>
        <v>#N/A</v>
      </c>
      <c r="U66" s="33" t="e">
        <f t="shared" si="53"/>
        <v>#N/A</v>
      </c>
      <c r="V66" s="89" t="e">
        <f t="shared" si="40"/>
        <v>#N/A</v>
      </c>
      <c r="W66" s="84" t="e">
        <f t="shared" si="78"/>
        <v>#N/A</v>
      </c>
      <c r="X66" s="91" t="str">
        <f t="shared" si="79"/>
        <v/>
      </c>
      <c r="Y66" s="56" t="str">
        <f t="shared" si="80"/>
        <v/>
      </c>
      <c r="Z66" s="9" t="str">
        <f t="shared" si="12"/>
        <v/>
      </c>
      <c r="AA66" s="43" t="str">
        <f t="shared" si="13"/>
        <v/>
      </c>
      <c r="AB66" s="98" t="str">
        <f t="shared" si="60"/>
        <v/>
      </c>
      <c r="AC66" s="9" t="str">
        <f t="shared" si="61"/>
        <v/>
      </c>
      <c r="AD66" s="43" t="str">
        <f t="shared" si="62"/>
        <v/>
      </c>
      <c r="AE66" s="97" t="str">
        <f t="shared" si="63"/>
        <v/>
      </c>
      <c r="AF66" s="19" t="str">
        <f t="shared" si="64"/>
        <v/>
      </c>
      <c r="AG66" s="19" t="str">
        <f t="shared" si="18"/>
        <v/>
      </c>
      <c r="AH66" s="19" t="str">
        <f t="shared" si="65"/>
        <v/>
      </c>
      <c r="AI66" s="43" t="str">
        <f t="shared" si="66"/>
        <v/>
      </c>
      <c r="AJ66" s="98" t="str">
        <f t="shared" si="67"/>
        <v/>
      </c>
      <c r="AK66" s="9" t="str">
        <f t="shared" si="68"/>
        <v/>
      </c>
      <c r="AL66" s="9" t="str">
        <f t="shared" si="23"/>
        <v/>
      </c>
      <c r="AM66" s="9" t="str">
        <f t="shared" si="69"/>
        <v/>
      </c>
      <c r="AN66" s="51" t="str">
        <f t="shared" si="70"/>
        <v/>
      </c>
      <c r="AO66" s="98" t="str">
        <f t="shared" si="71"/>
        <v/>
      </c>
      <c r="AP66" s="103" t="str">
        <f t="shared" si="72"/>
        <v/>
      </c>
      <c r="AQ66" s="98" t="str">
        <f t="shared" si="26"/>
        <v/>
      </c>
      <c r="AR66" s="9" t="str">
        <f t="shared" si="27"/>
        <v/>
      </c>
      <c r="AS66" s="19" t="str">
        <f t="shared" si="28"/>
        <v/>
      </c>
      <c r="AT66" s="9" t="str">
        <f t="shared" si="29"/>
        <v/>
      </c>
      <c r="AU66" s="84" t="str">
        <f t="shared" si="30"/>
        <v/>
      </c>
      <c r="AV66" s="106" t="str">
        <f t="shared" si="73"/>
        <v/>
      </c>
      <c r="AW66" s="112" t="str">
        <f t="shared" si="31"/>
        <v/>
      </c>
      <c r="AX66" s="107" t="str">
        <f t="shared" si="32"/>
        <v/>
      </c>
      <c r="AY66" s="108" t="str">
        <f t="shared" si="33"/>
        <v/>
      </c>
      <c r="AZ66" s="56" t="str">
        <f t="shared" si="34"/>
        <v/>
      </c>
      <c r="BA66" s="51" t="str">
        <f t="shared" si="43"/>
        <v/>
      </c>
      <c r="BC66" s="61" t="str">
        <f t="shared" si="44"/>
        <v/>
      </c>
      <c r="BD66" s="56">
        <f t="shared" si="57"/>
        <v>95</v>
      </c>
      <c r="BE66" s="32">
        <f t="shared" si="58"/>
        <v>-11.333333333333336</v>
      </c>
      <c r="BH66" s="32">
        <f t="shared" si="47"/>
        <v>95</v>
      </c>
      <c r="BI66">
        <f t="shared" si="48"/>
        <v>42.72711060665096</v>
      </c>
    </row>
    <row r="67" spans="1:61">
      <c r="A67" s="42">
        <v>43</v>
      </c>
      <c r="B67" s="33">
        <f t="shared" si="81"/>
        <v>-10</v>
      </c>
      <c r="C67" s="77" t="str">
        <f t="shared" si="74"/>
        <v/>
      </c>
      <c r="D67" s="33" t="str">
        <f t="shared" si="75"/>
        <v/>
      </c>
      <c r="E67" s="43"/>
      <c r="F67" s="42">
        <v>43</v>
      </c>
      <c r="G67" s="9">
        <f t="shared" si="76"/>
        <v>58.000000000000028</v>
      </c>
      <c r="H67" s="9" t="str">
        <f t="shared" si="36"/>
        <v/>
      </c>
      <c r="I67" s="72" t="str">
        <f t="shared" si="59"/>
        <v/>
      </c>
      <c r="J67" s="84" t="str">
        <f t="shared" si="77"/>
        <v/>
      </c>
      <c r="K67" s="81">
        <v>43</v>
      </c>
      <c r="L67" s="9" t="str">
        <f t="shared" si="49"/>
        <v/>
      </c>
      <c r="M67" s="9" t="str">
        <f t="shared" si="52"/>
        <v/>
      </c>
      <c r="N67" s="32" t="str">
        <f t="shared" si="50"/>
        <v/>
      </c>
      <c r="O67" s="32" t="str">
        <f t="shared" si="38"/>
        <v/>
      </c>
      <c r="P67">
        <v>43</v>
      </c>
      <c r="Q67" s="9" t="str">
        <f t="shared" si="51"/>
        <v/>
      </c>
      <c r="R67" s="200" t="str">
        <f t="shared" si="7"/>
        <v/>
      </c>
      <c r="S67" s="56" t="str">
        <f t="shared" si="54"/>
        <v/>
      </c>
      <c r="T67" s="87" t="e">
        <f t="shared" si="39"/>
        <v>#N/A</v>
      </c>
      <c r="U67" s="33" t="e">
        <f t="shared" si="53"/>
        <v>#N/A</v>
      </c>
      <c r="V67" s="89" t="e">
        <f t="shared" si="40"/>
        <v>#N/A</v>
      </c>
      <c r="W67" s="84" t="e">
        <f t="shared" si="78"/>
        <v>#N/A</v>
      </c>
      <c r="X67" s="91" t="str">
        <f t="shared" si="79"/>
        <v/>
      </c>
      <c r="Y67" s="56" t="str">
        <f t="shared" si="80"/>
        <v/>
      </c>
      <c r="Z67" s="9" t="str">
        <f t="shared" si="12"/>
        <v/>
      </c>
      <c r="AA67" s="43" t="str">
        <f t="shared" si="13"/>
        <v/>
      </c>
      <c r="AB67" s="98" t="str">
        <f t="shared" si="60"/>
        <v/>
      </c>
      <c r="AC67" s="9" t="str">
        <f t="shared" si="61"/>
        <v/>
      </c>
      <c r="AD67" s="43" t="str">
        <f t="shared" si="62"/>
        <v/>
      </c>
      <c r="AE67" s="97" t="str">
        <f t="shared" si="63"/>
        <v/>
      </c>
      <c r="AF67" s="19" t="str">
        <f t="shared" si="64"/>
        <v/>
      </c>
      <c r="AG67" s="19" t="str">
        <f t="shared" si="18"/>
        <v/>
      </c>
      <c r="AH67" s="19" t="str">
        <f t="shared" si="65"/>
        <v/>
      </c>
      <c r="AI67" s="43" t="str">
        <f t="shared" si="66"/>
        <v/>
      </c>
      <c r="AJ67" s="98" t="str">
        <f t="shared" si="67"/>
        <v/>
      </c>
      <c r="AK67" s="9" t="str">
        <f t="shared" si="68"/>
        <v/>
      </c>
      <c r="AL67" s="9" t="str">
        <f t="shared" si="23"/>
        <v/>
      </c>
      <c r="AM67" s="9" t="str">
        <f t="shared" si="69"/>
        <v/>
      </c>
      <c r="AN67" s="51" t="str">
        <f t="shared" si="70"/>
        <v/>
      </c>
      <c r="AO67" s="98" t="str">
        <f t="shared" si="71"/>
        <v/>
      </c>
      <c r="AP67" s="103" t="str">
        <f t="shared" si="72"/>
        <v/>
      </c>
      <c r="AQ67" s="98" t="str">
        <f t="shared" si="26"/>
        <v/>
      </c>
      <c r="AR67" s="9" t="str">
        <f t="shared" si="27"/>
        <v/>
      </c>
      <c r="AS67" s="19" t="str">
        <f t="shared" si="28"/>
        <v/>
      </c>
      <c r="AT67" s="9" t="str">
        <f t="shared" si="29"/>
        <v/>
      </c>
      <c r="AU67" s="84" t="str">
        <f t="shared" si="30"/>
        <v/>
      </c>
      <c r="AV67" s="106" t="str">
        <f t="shared" si="73"/>
        <v/>
      </c>
      <c r="AW67" s="112" t="str">
        <f t="shared" si="31"/>
        <v/>
      </c>
      <c r="AX67" s="107" t="str">
        <f t="shared" si="32"/>
        <v/>
      </c>
      <c r="AY67" s="108" t="str">
        <f t="shared" si="33"/>
        <v/>
      </c>
      <c r="AZ67" s="56" t="str">
        <f t="shared" si="34"/>
        <v/>
      </c>
      <c r="BA67" s="51" t="str">
        <f t="shared" si="43"/>
        <v/>
      </c>
      <c r="BC67" s="61" t="str">
        <f t="shared" si="44"/>
        <v/>
      </c>
      <c r="BD67" s="56">
        <f t="shared" si="57"/>
        <v>95</v>
      </c>
      <c r="BE67" s="32">
        <f t="shared" si="58"/>
        <v>-11.333333333333336</v>
      </c>
      <c r="BH67" s="32">
        <f t="shared" si="47"/>
        <v>95</v>
      </c>
      <c r="BI67">
        <f t="shared" si="48"/>
        <v>42.72711060665096</v>
      </c>
    </row>
    <row r="68" spans="1:61">
      <c r="A68" s="42">
        <v>44</v>
      </c>
      <c r="B68" s="33">
        <f t="shared" si="81"/>
        <v>-5</v>
      </c>
      <c r="C68" s="77" t="str">
        <f t="shared" si="74"/>
        <v/>
      </c>
      <c r="D68" s="33" t="str">
        <f t="shared" si="75"/>
        <v/>
      </c>
      <c r="E68" s="43"/>
      <c r="F68" s="42">
        <v>44</v>
      </c>
      <c r="G68" s="9">
        <f t="shared" si="76"/>
        <v>81.750000000000028</v>
      </c>
      <c r="H68" s="9" t="str">
        <f t="shared" si="36"/>
        <v/>
      </c>
      <c r="I68" s="72" t="str">
        <f t="shared" si="59"/>
        <v/>
      </c>
      <c r="J68" s="84" t="str">
        <f t="shared" si="77"/>
        <v/>
      </c>
      <c r="K68" s="81">
        <v>44</v>
      </c>
      <c r="L68" s="9" t="str">
        <f t="shared" si="49"/>
        <v/>
      </c>
      <c r="M68" s="9" t="str">
        <f t="shared" si="52"/>
        <v/>
      </c>
      <c r="N68" s="32" t="str">
        <f t="shared" si="50"/>
        <v/>
      </c>
      <c r="O68" s="32" t="str">
        <f t="shared" si="38"/>
        <v/>
      </c>
      <c r="P68">
        <v>44</v>
      </c>
      <c r="Q68" s="9" t="str">
        <f t="shared" si="51"/>
        <v/>
      </c>
      <c r="R68" s="200" t="str">
        <f t="shared" si="7"/>
        <v/>
      </c>
      <c r="S68" s="56" t="str">
        <f t="shared" si="54"/>
        <v/>
      </c>
      <c r="T68" s="87" t="e">
        <f t="shared" si="39"/>
        <v>#N/A</v>
      </c>
      <c r="U68" s="33" t="e">
        <f t="shared" si="53"/>
        <v>#N/A</v>
      </c>
      <c r="V68" s="89" t="e">
        <f t="shared" si="40"/>
        <v>#N/A</v>
      </c>
      <c r="W68" s="84" t="e">
        <f t="shared" si="78"/>
        <v>#N/A</v>
      </c>
      <c r="X68" s="91" t="str">
        <f t="shared" si="79"/>
        <v/>
      </c>
      <c r="Y68" s="56" t="str">
        <f t="shared" si="80"/>
        <v/>
      </c>
      <c r="Z68" s="9" t="str">
        <f t="shared" si="12"/>
        <v/>
      </c>
      <c r="AA68" s="43" t="str">
        <f t="shared" si="13"/>
        <v/>
      </c>
      <c r="AB68" s="98" t="str">
        <f t="shared" si="60"/>
        <v/>
      </c>
      <c r="AC68" s="9" t="str">
        <f t="shared" si="61"/>
        <v/>
      </c>
      <c r="AD68" s="43" t="str">
        <f t="shared" si="62"/>
        <v/>
      </c>
      <c r="AE68" s="97" t="str">
        <f t="shared" si="63"/>
        <v/>
      </c>
      <c r="AF68" s="19" t="str">
        <f t="shared" si="64"/>
        <v/>
      </c>
      <c r="AG68" s="19" t="str">
        <f t="shared" si="18"/>
        <v/>
      </c>
      <c r="AH68" s="19" t="str">
        <f t="shared" si="65"/>
        <v/>
      </c>
      <c r="AI68" s="43" t="str">
        <f t="shared" si="66"/>
        <v/>
      </c>
      <c r="AJ68" s="98" t="str">
        <f t="shared" si="67"/>
        <v/>
      </c>
      <c r="AK68" s="9" t="str">
        <f t="shared" si="68"/>
        <v/>
      </c>
      <c r="AL68" s="9" t="str">
        <f t="shared" si="23"/>
        <v/>
      </c>
      <c r="AM68" s="9" t="str">
        <f t="shared" si="69"/>
        <v/>
      </c>
      <c r="AN68" s="51" t="str">
        <f t="shared" si="70"/>
        <v/>
      </c>
      <c r="AO68" s="98" t="str">
        <f t="shared" si="71"/>
        <v/>
      </c>
      <c r="AP68" s="103" t="str">
        <f t="shared" si="72"/>
        <v/>
      </c>
      <c r="AQ68" s="98" t="str">
        <f t="shared" si="26"/>
        <v/>
      </c>
      <c r="AR68" s="9" t="str">
        <f t="shared" si="27"/>
        <v/>
      </c>
      <c r="AS68" s="19" t="str">
        <f t="shared" si="28"/>
        <v/>
      </c>
      <c r="AT68" s="9" t="str">
        <f t="shared" si="29"/>
        <v/>
      </c>
      <c r="AU68" s="84" t="str">
        <f t="shared" si="30"/>
        <v/>
      </c>
      <c r="AV68" s="106" t="str">
        <f t="shared" si="73"/>
        <v/>
      </c>
      <c r="AW68" s="112" t="str">
        <f t="shared" si="31"/>
        <v/>
      </c>
      <c r="AX68" s="107" t="str">
        <f t="shared" si="32"/>
        <v/>
      </c>
      <c r="AY68" s="108" t="str">
        <f t="shared" si="33"/>
        <v/>
      </c>
      <c r="AZ68" s="56" t="str">
        <f t="shared" si="34"/>
        <v/>
      </c>
      <c r="BA68" s="51" t="str">
        <f t="shared" si="43"/>
        <v/>
      </c>
      <c r="BC68" s="61" t="str">
        <f t="shared" si="44"/>
        <v/>
      </c>
      <c r="BD68" s="56">
        <f t="shared" si="57"/>
        <v>95</v>
      </c>
      <c r="BE68" s="32">
        <f t="shared" si="58"/>
        <v>-11.333333333333336</v>
      </c>
      <c r="BH68" s="32">
        <f t="shared" si="47"/>
        <v>95</v>
      </c>
      <c r="BI68">
        <f t="shared" si="48"/>
        <v>42.72711060665096</v>
      </c>
    </row>
    <row r="69" spans="1:61">
      <c r="A69" s="42">
        <v>45</v>
      </c>
      <c r="B69" s="33">
        <f t="shared" si="81"/>
        <v>0</v>
      </c>
      <c r="C69" s="77" t="str">
        <f t="shared" si="74"/>
        <v/>
      </c>
      <c r="D69" s="33" t="str">
        <f t="shared" si="75"/>
        <v/>
      </c>
      <c r="E69" s="43"/>
      <c r="F69" s="42">
        <v>45</v>
      </c>
      <c r="G69" s="9">
        <f t="shared" si="76"/>
        <v>105.50000000000003</v>
      </c>
      <c r="H69" s="9" t="str">
        <f t="shared" si="36"/>
        <v/>
      </c>
      <c r="I69" s="72" t="str">
        <f t="shared" si="59"/>
        <v/>
      </c>
      <c r="J69" s="84" t="str">
        <f t="shared" si="77"/>
        <v/>
      </c>
      <c r="K69" s="81">
        <v>45</v>
      </c>
      <c r="L69" s="9" t="str">
        <f t="shared" si="49"/>
        <v/>
      </c>
      <c r="M69" s="9" t="str">
        <f t="shared" si="52"/>
        <v/>
      </c>
      <c r="N69" s="32" t="str">
        <f t="shared" si="50"/>
        <v/>
      </c>
      <c r="O69" s="32" t="str">
        <f t="shared" si="38"/>
        <v/>
      </c>
      <c r="P69">
        <v>45</v>
      </c>
      <c r="Q69" s="9" t="str">
        <f t="shared" si="51"/>
        <v/>
      </c>
      <c r="R69" s="200" t="str">
        <f t="shared" si="7"/>
        <v/>
      </c>
      <c r="S69" s="56" t="str">
        <f t="shared" si="54"/>
        <v/>
      </c>
      <c r="T69" s="87" t="e">
        <f t="shared" si="39"/>
        <v>#N/A</v>
      </c>
      <c r="U69" s="33" t="e">
        <f t="shared" si="53"/>
        <v>#N/A</v>
      </c>
      <c r="V69" s="89" t="e">
        <f t="shared" si="40"/>
        <v>#N/A</v>
      </c>
      <c r="W69" s="84" t="e">
        <f t="shared" si="78"/>
        <v>#N/A</v>
      </c>
      <c r="X69" s="91" t="str">
        <f t="shared" si="79"/>
        <v/>
      </c>
      <c r="Y69" s="56" t="str">
        <f t="shared" si="80"/>
        <v/>
      </c>
      <c r="Z69" s="9" t="str">
        <f t="shared" si="12"/>
        <v/>
      </c>
      <c r="AA69" s="43" t="str">
        <f t="shared" si="13"/>
        <v/>
      </c>
      <c r="AB69" s="98" t="str">
        <f t="shared" si="60"/>
        <v/>
      </c>
      <c r="AC69" s="9" t="str">
        <f t="shared" si="61"/>
        <v/>
      </c>
      <c r="AD69" s="43" t="str">
        <f t="shared" si="62"/>
        <v/>
      </c>
      <c r="AE69" s="97" t="str">
        <f t="shared" si="63"/>
        <v/>
      </c>
      <c r="AF69" s="19" t="str">
        <f t="shared" si="64"/>
        <v/>
      </c>
      <c r="AG69" s="19" t="str">
        <f t="shared" si="18"/>
        <v/>
      </c>
      <c r="AH69" s="19" t="str">
        <f t="shared" si="65"/>
        <v/>
      </c>
      <c r="AI69" s="43" t="str">
        <f t="shared" si="66"/>
        <v/>
      </c>
      <c r="AJ69" s="98" t="str">
        <f t="shared" si="67"/>
        <v/>
      </c>
      <c r="AK69" s="9" t="str">
        <f t="shared" si="68"/>
        <v/>
      </c>
      <c r="AL69" s="9" t="str">
        <f t="shared" si="23"/>
        <v/>
      </c>
      <c r="AM69" s="9" t="str">
        <f t="shared" si="69"/>
        <v/>
      </c>
      <c r="AN69" s="51" t="str">
        <f t="shared" si="70"/>
        <v/>
      </c>
      <c r="AO69" s="98" t="str">
        <f t="shared" si="71"/>
        <v/>
      </c>
      <c r="AP69" s="103" t="str">
        <f t="shared" si="72"/>
        <v/>
      </c>
      <c r="AQ69" s="98" t="str">
        <f t="shared" si="26"/>
        <v/>
      </c>
      <c r="AR69" s="9" t="str">
        <f t="shared" si="27"/>
        <v/>
      </c>
      <c r="AS69" s="19" t="str">
        <f t="shared" si="28"/>
        <v/>
      </c>
      <c r="AT69" s="9" t="str">
        <f t="shared" si="29"/>
        <v/>
      </c>
      <c r="AU69" s="84" t="str">
        <f t="shared" si="30"/>
        <v/>
      </c>
      <c r="AV69" s="106" t="str">
        <f t="shared" si="73"/>
        <v/>
      </c>
      <c r="AW69" s="112" t="str">
        <f t="shared" si="31"/>
        <v/>
      </c>
      <c r="AX69" s="107" t="str">
        <f t="shared" si="32"/>
        <v/>
      </c>
      <c r="AY69" s="108" t="str">
        <f t="shared" si="33"/>
        <v/>
      </c>
      <c r="AZ69" s="56" t="str">
        <f t="shared" si="34"/>
        <v/>
      </c>
      <c r="BA69" s="51" t="str">
        <f t="shared" si="43"/>
        <v/>
      </c>
      <c r="BC69" s="61" t="str">
        <f t="shared" si="44"/>
        <v/>
      </c>
      <c r="BD69" s="56">
        <f t="shared" si="57"/>
        <v>95</v>
      </c>
      <c r="BE69" s="32">
        <f t="shared" si="58"/>
        <v>-11.333333333333336</v>
      </c>
      <c r="BH69" s="32">
        <f t="shared" si="47"/>
        <v>95</v>
      </c>
      <c r="BI69">
        <f t="shared" si="48"/>
        <v>42.72711060665096</v>
      </c>
    </row>
    <row r="70" spans="1:61">
      <c r="A70" s="42">
        <v>46</v>
      </c>
      <c r="B70" s="33">
        <f t="shared" si="81"/>
        <v>5</v>
      </c>
      <c r="C70" s="77" t="str">
        <f t="shared" si="74"/>
        <v/>
      </c>
      <c r="D70" s="33" t="str">
        <f t="shared" si="75"/>
        <v/>
      </c>
      <c r="E70" s="43"/>
      <c r="F70" s="42">
        <v>46</v>
      </c>
      <c r="G70" s="9">
        <f t="shared" si="76"/>
        <v>129.25000000000003</v>
      </c>
      <c r="H70" s="9" t="str">
        <f t="shared" si="36"/>
        <v/>
      </c>
      <c r="I70" s="72" t="str">
        <f t="shared" si="59"/>
        <v/>
      </c>
      <c r="J70" s="84" t="str">
        <f t="shared" si="77"/>
        <v/>
      </c>
      <c r="K70" s="81">
        <v>46</v>
      </c>
      <c r="L70" s="9" t="str">
        <f t="shared" si="49"/>
        <v/>
      </c>
      <c r="M70" s="9" t="str">
        <f t="shared" si="52"/>
        <v/>
      </c>
      <c r="N70" s="32" t="str">
        <f t="shared" si="50"/>
        <v/>
      </c>
      <c r="O70" s="32" t="str">
        <f t="shared" si="38"/>
        <v/>
      </c>
      <c r="P70">
        <v>46</v>
      </c>
      <c r="Q70" s="9" t="str">
        <f t="shared" si="51"/>
        <v/>
      </c>
      <c r="R70" s="200" t="str">
        <f t="shared" si="7"/>
        <v/>
      </c>
      <c r="S70" s="56" t="str">
        <f t="shared" si="54"/>
        <v/>
      </c>
      <c r="T70" s="87" t="e">
        <f t="shared" si="39"/>
        <v>#N/A</v>
      </c>
      <c r="U70" s="33" t="e">
        <f t="shared" si="53"/>
        <v>#N/A</v>
      </c>
      <c r="V70" s="89" t="e">
        <f t="shared" si="40"/>
        <v>#N/A</v>
      </c>
      <c r="W70" s="84" t="e">
        <f t="shared" si="78"/>
        <v>#N/A</v>
      </c>
      <c r="X70" s="91" t="str">
        <f t="shared" si="79"/>
        <v/>
      </c>
      <c r="Y70" s="56" t="str">
        <f t="shared" si="80"/>
        <v/>
      </c>
      <c r="Z70" s="9" t="str">
        <f t="shared" si="12"/>
        <v/>
      </c>
      <c r="AA70" s="43" t="str">
        <f t="shared" si="13"/>
        <v/>
      </c>
      <c r="AB70" s="98" t="str">
        <f t="shared" si="60"/>
        <v/>
      </c>
      <c r="AC70" s="9" t="str">
        <f t="shared" si="61"/>
        <v/>
      </c>
      <c r="AD70" s="43" t="str">
        <f t="shared" si="62"/>
        <v/>
      </c>
      <c r="AE70" s="97" t="str">
        <f t="shared" si="63"/>
        <v/>
      </c>
      <c r="AF70" s="19" t="str">
        <f t="shared" si="64"/>
        <v/>
      </c>
      <c r="AG70" s="19" t="str">
        <f t="shared" si="18"/>
        <v/>
      </c>
      <c r="AH70" s="19" t="str">
        <f t="shared" si="65"/>
        <v/>
      </c>
      <c r="AI70" s="43" t="str">
        <f t="shared" si="66"/>
        <v/>
      </c>
      <c r="AJ70" s="98" t="str">
        <f t="shared" si="67"/>
        <v/>
      </c>
      <c r="AK70" s="9" t="str">
        <f t="shared" si="68"/>
        <v/>
      </c>
      <c r="AL70" s="9" t="str">
        <f t="shared" si="23"/>
        <v/>
      </c>
      <c r="AM70" s="9" t="str">
        <f t="shared" si="69"/>
        <v/>
      </c>
      <c r="AN70" s="51" t="str">
        <f t="shared" si="70"/>
        <v/>
      </c>
      <c r="AO70" s="98" t="str">
        <f t="shared" si="71"/>
        <v/>
      </c>
      <c r="AP70" s="103" t="str">
        <f t="shared" si="72"/>
        <v/>
      </c>
      <c r="AQ70" s="98" t="str">
        <f t="shared" si="26"/>
        <v/>
      </c>
      <c r="AR70" s="9" t="str">
        <f t="shared" si="27"/>
        <v/>
      </c>
      <c r="AS70" s="19" t="str">
        <f t="shared" si="28"/>
        <v/>
      </c>
      <c r="AT70" s="9" t="str">
        <f t="shared" si="29"/>
        <v/>
      </c>
      <c r="AU70" s="84" t="str">
        <f t="shared" si="30"/>
        <v/>
      </c>
      <c r="AV70" s="106" t="str">
        <f t="shared" si="73"/>
        <v/>
      </c>
      <c r="AW70" s="112" t="str">
        <f t="shared" si="31"/>
        <v/>
      </c>
      <c r="AX70" s="107" t="str">
        <f t="shared" si="32"/>
        <v/>
      </c>
      <c r="AY70" s="108" t="str">
        <f t="shared" si="33"/>
        <v/>
      </c>
      <c r="AZ70" s="56" t="str">
        <f t="shared" si="34"/>
        <v/>
      </c>
      <c r="BA70" s="51" t="str">
        <f t="shared" si="43"/>
        <v/>
      </c>
      <c r="BC70" s="61" t="str">
        <f t="shared" si="44"/>
        <v/>
      </c>
      <c r="BD70" s="56">
        <f t="shared" si="57"/>
        <v>95</v>
      </c>
      <c r="BE70" s="32">
        <f t="shared" si="58"/>
        <v>-11.333333333333336</v>
      </c>
      <c r="BH70" s="32">
        <f t="shared" si="47"/>
        <v>95</v>
      </c>
      <c r="BI70">
        <f t="shared" si="48"/>
        <v>42.72711060665096</v>
      </c>
    </row>
    <row r="71" spans="1:61">
      <c r="A71" s="42">
        <v>47</v>
      </c>
      <c r="B71" s="33">
        <f t="shared" si="81"/>
        <v>10</v>
      </c>
      <c r="C71" s="77" t="str">
        <f t="shared" si="74"/>
        <v/>
      </c>
      <c r="D71" s="33" t="str">
        <f t="shared" si="75"/>
        <v/>
      </c>
      <c r="E71" s="43"/>
      <c r="F71" s="42">
        <v>47</v>
      </c>
      <c r="G71" s="9">
        <f t="shared" si="76"/>
        <v>153.00000000000003</v>
      </c>
      <c r="H71" s="9" t="str">
        <f t="shared" si="36"/>
        <v/>
      </c>
      <c r="I71" s="72" t="str">
        <f t="shared" si="59"/>
        <v/>
      </c>
      <c r="J71" s="84" t="str">
        <f t="shared" si="77"/>
        <v/>
      </c>
      <c r="K71" s="81">
        <v>47</v>
      </c>
      <c r="L71" s="9" t="str">
        <f t="shared" si="49"/>
        <v/>
      </c>
      <c r="M71" s="9" t="str">
        <f t="shared" si="52"/>
        <v/>
      </c>
      <c r="N71" s="32" t="str">
        <f t="shared" si="50"/>
        <v/>
      </c>
      <c r="O71" s="32" t="str">
        <f t="shared" si="38"/>
        <v/>
      </c>
      <c r="P71">
        <v>47</v>
      </c>
      <c r="Q71" s="9" t="str">
        <f t="shared" si="51"/>
        <v/>
      </c>
      <c r="R71" s="200" t="str">
        <f t="shared" si="7"/>
        <v/>
      </c>
      <c r="S71" s="56" t="str">
        <f t="shared" si="54"/>
        <v/>
      </c>
      <c r="T71" s="87" t="e">
        <f t="shared" si="39"/>
        <v>#N/A</v>
      </c>
      <c r="U71" s="33" t="e">
        <f t="shared" si="53"/>
        <v>#N/A</v>
      </c>
      <c r="V71" s="89" t="e">
        <f t="shared" si="40"/>
        <v>#N/A</v>
      </c>
      <c r="W71" s="84" t="e">
        <f t="shared" si="78"/>
        <v>#N/A</v>
      </c>
      <c r="X71" s="91" t="str">
        <f t="shared" si="79"/>
        <v/>
      </c>
      <c r="Y71" s="56" t="str">
        <f t="shared" si="80"/>
        <v/>
      </c>
      <c r="Z71" s="9" t="str">
        <f t="shared" si="12"/>
        <v/>
      </c>
      <c r="AA71" s="43" t="str">
        <f t="shared" si="13"/>
        <v/>
      </c>
      <c r="AB71" s="98" t="str">
        <f t="shared" si="60"/>
        <v/>
      </c>
      <c r="AC71" s="9" t="str">
        <f t="shared" si="61"/>
        <v/>
      </c>
      <c r="AD71" s="43" t="str">
        <f t="shared" si="62"/>
        <v/>
      </c>
      <c r="AE71" s="97" t="str">
        <f t="shared" si="63"/>
        <v/>
      </c>
      <c r="AF71" s="19" t="str">
        <f t="shared" si="64"/>
        <v/>
      </c>
      <c r="AG71" s="19" t="str">
        <f t="shared" si="18"/>
        <v/>
      </c>
      <c r="AH71" s="19" t="str">
        <f t="shared" si="65"/>
        <v/>
      </c>
      <c r="AI71" s="43" t="str">
        <f t="shared" si="66"/>
        <v/>
      </c>
      <c r="AJ71" s="98" t="str">
        <f t="shared" si="67"/>
        <v/>
      </c>
      <c r="AK71" s="9" t="str">
        <f t="shared" si="68"/>
        <v/>
      </c>
      <c r="AL71" s="9" t="str">
        <f t="shared" si="23"/>
        <v/>
      </c>
      <c r="AM71" s="9" t="str">
        <f t="shared" si="69"/>
        <v/>
      </c>
      <c r="AN71" s="51" t="str">
        <f t="shared" si="70"/>
        <v/>
      </c>
      <c r="AO71" s="98" t="str">
        <f t="shared" si="71"/>
        <v/>
      </c>
      <c r="AP71" s="103" t="str">
        <f t="shared" si="72"/>
        <v/>
      </c>
      <c r="AQ71" s="98" t="str">
        <f t="shared" si="26"/>
        <v/>
      </c>
      <c r="AR71" s="9" t="str">
        <f t="shared" si="27"/>
        <v/>
      </c>
      <c r="AS71" s="19" t="str">
        <f t="shared" si="28"/>
        <v/>
      </c>
      <c r="AT71" s="9" t="str">
        <f t="shared" si="29"/>
        <v/>
      </c>
      <c r="AU71" s="84" t="str">
        <f t="shared" si="30"/>
        <v/>
      </c>
      <c r="AV71" s="106" t="str">
        <f t="shared" si="73"/>
        <v/>
      </c>
      <c r="AW71" s="112" t="str">
        <f t="shared" si="31"/>
        <v/>
      </c>
      <c r="AX71" s="107" t="str">
        <f t="shared" si="32"/>
        <v/>
      </c>
      <c r="AY71" s="108" t="str">
        <f t="shared" si="33"/>
        <v/>
      </c>
      <c r="AZ71" s="56" t="str">
        <f t="shared" si="34"/>
        <v/>
      </c>
      <c r="BA71" s="51" t="str">
        <f t="shared" si="43"/>
        <v/>
      </c>
      <c r="BC71" s="61" t="str">
        <f t="shared" si="44"/>
        <v/>
      </c>
      <c r="BD71" s="56">
        <f t="shared" si="57"/>
        <v>95</v>
      </c>
      <c r="BE71" s="32">
        <f t="shared" si="58"/>
        <v>-11.333333333333336</v>
      </c>
      <c r="BH71" s="32">
        <f t="shared" si="47"/>
        <v>95</v>
      </c>
      <c r="BI71">
        <f t="shared" si="48"/>
        <v>42.72711060665096</v>
      </c>
    </row>
    <row r="72" spans="1:61">
      <c r="A72" s="42">
        <v>48</v>
      </c>
      <c r="B72" s="33">
        <f t="shared" si="81"/>
        <v>15</v>
      </c>
      <c r="C72" s="77" t="str">
        <f t="shared" si="74"/>
        <v/>
      </c>
      <c r="D72" s="33" t="str">
        <f t="shared" si="75"/>
        <v/>
      </c>
      <c r="E72" s="43"/>
      <c r="F72" s="42">
        <v>48</v>
      </c>
      <c r="G72" s="9">
        <f t="shared" si="76"/>
        <v>176.75000000000003</v>
      </c>
      <c r="H72" s="9" t="str">
        <f t="shared" si="36"/>
        <v/>
      </c>
      <c r="I72" s="72" t="str">
        <f t="shared" si="59"/>
        <v/>
      </c>
      <c r="J72" s="84" t="str">
        <f t="shared" si="77"/>
        <v/>
      </c>
      <c r="K72" s="81">
        <v>48</v>
      </c>
      <c r="L72" s="9" t="str">
        <f t="shared" si="49"/>
        <v/>
      </c>
      <c r="M72" s="9" t="str">
        <f t="shared" si="52"/>
        <v/>
      </c>
      <c r="N72" s="32" t="str">
        <f t="shared" si="50"/>
        <v/>
      </c>
      <c r="O72" s="32" t="str">
        <f t="shared" si="38"/>
        <v/>
      </c>
      <c r="P72">
        <v>48</v>
      </c>
      <c r="Q72" s="9" t="str">
        <f t="shared" si="51"/>
        <v/>
      </c>
      <c r="R72" s="200" t="str">
        <f t="shared" si="7"/>
        <v/>
      </c>
      <c r="S72" s="56" t="str">
        <f t="shared" si="54"/>
        <v/>
      </c>
      <c r="T72" s="87" t="e">
        <f t="shared" si="39"/>
        <v>#N/A</v>
      </c>
      <c r="U72" s="33" t="e">
        <f t="shared" si="53"/>
        <v>#N/A</v>
      </c>
      <c r="V72" s="89" t="e">
        <f t="shared" si="40"/>
        <v>#N/A</v>
      </c>
      <c r="W72" s="84" t="e">
        <f t="shared" si="78"/>
        <v>#N/A</v>
      </c>
      <c r="X72" s="91" t="str">
        <f t="shared" si="79"/>
        <v/>
      </c>
      <c r="Y72" s="56" t="str">
        <f t="shared" si="80"/>
        <v/>
      </c>
      <c r="Z72" s="9" t="str">
        <f t="shared" si="12"/>
        <v/>
      </c>
      <c r="AA72" s="43" t="str">
        <f t="shared" si="13"/>
        <v/>
      </c>
      <c r="AB72" s="98" t="str">
        <f t="shared" si="60"/>
        <v/>
      </c>
      <c r="AC72" s="9" t="str">
        <f t="shared" si="61"/>
        <v/>
      </c>
      <c r="AD72" s="43" t="str">
        <f t="shared" si="62"/>
        <v/>
      </c>
      <c r="AE72" s="97" t="str">
        <f t="shared" si="63"/>
        <v/>
      </c>
      <c r="AF72" s="19" t="str">
        <f t="shared" si="64"/>
        <v/>
      </c>
      <c r="AG72" s="19" t="str">
        <f t="shared" si="18"/>
        <v/>
      </c>
      <c r="AH72" s="19" t="str">
        <f t="shared" si="65"/>
        <v/>
      </c>
      <c r="AI72" s="43" t="str">
        <f t="shared" si="66"/>
        <v/>
      </c>
      <c r="AJ72" s="98" t="str">
        <f t="shared" si="67"/>
        <v/>
      </c>
      <c r="AK72" s="9" t="str">
        <f t="shared" si="68"/>
        <v/>
      </c>
      <c r="AL72" s="9" t="str">
        <f t="shared" si="23"/>
        <v/>
      </c>
      <c r="AM72" s="9" t="str">
        <f t="shared" si="69"/>
        <v/>
      </c>
      <c r="AN72" s="51" t="str">
        <f t="shared" si="70"/>
        <v/>
      </c>
      <c r="AO72" s="98" t="str">
        <f t="shared" si="71"/>
        <v/>
      </c>
      <c r="AP72" s="103" t="str">
        <f t="shared" si="72"/>
        <v/>
      </c>
      <c r="AQ72" s="98" t="str">
        <f t="shared" si="26"/>
        <v/>
      </c>
      <c r="AR72" s="9" t="str">
        <f t="shared" si="27"/>
        <v/>
      </c>
      <c r="AS72" s="19" t="str">
        <f t="shared" si="28"/>
        <v/>
      </c>
      <c r="AT72" s="9" t="str">
        <f t="shared" si="29"/>
        <v/>
      </c>
      <c r="AU72" s="84" t="str">
        <f t="shared" si="30"/>
        <v/>
      </c>
      <c r="AV72" s="106" t="str">
        <f t="shared" si="73"/>
        <v/>
      </c>
      <c r="AW72" s="112" t="str">
        <f t="shared" si="31"/>
        <v/>
      </c>
      <c r="AX72" s="107" t="str">
        <f t="shared" si="32"/>
        <v/>
      </c>
      <c r="AY72" s="108" t="str">
        <f t="shared" si="33"/>
        <v/>
      </c>
      <c r="AZ72" s="56" t="str">
        <f t="shared" si="34"/>
        <v/>
      </c>
      <c r="BA72" s="51" t="str">
        <f t="shared" si="43"/>
        <v/>
      </c>
      <c r="BC72" s="61" t="str">
        <f t="shared" si="44"/>
        <v/>
      </c>
      <c r="BD72" s="56">
        <f t="shared" si="57"/>
        <v>95</v>
      </c>
      <c r="BE72" s="32">
        <f t="shared" si="58"/>
        <v>-11.333333333333336</v>
      </c>
      <c r="BH72" s="32">
        <f t="shared" si="47"/>
        <v>95</v>
      </c>
      <c r="BI72">
        <f t="shared" si="48"/>
        <v>42.72711060665096</v>
      </c>
    </row>
    <row r="73" spans="1:61">
      <c r="A73" s="42">
        <v>49</v>
      </c>
      <c r="B73" s="33">
        <f t="shared" si="81"/>
        <v>20</v>
      </c>
      <c r="C73" s="77" t="str">
        <f t="shared" si="74"/>
        <v/>
      </c>
      <c r="D73" s="33" t="str">
        <f t="shared" si="75"/>
        <v/>
      </c>
      <c r="E73" s="43"/>
      <c r="F73" s="42">
        <v>49</v>
      </c>
      <c r="G73" s="9">
        <f t="shared" si="76"/>
        <v>-159.49999999999997</v>
      </c>
      <c r="H73" s="9" t="str">
        <f t="shared" si="36"/>
        <v/>
      </c>
      <c r="I73" s="72" t="str">
        <f t="shared" si="59"/>
        <v/>
      </c>
      <c r="J73" s="84" t="str">
        <f t="shared" si="77"/>
        <v/>
      </c>
      <c r="K73" s="81">
        <v>49</v>
      </c>
      <c r="L73" s="9" t="str">
        <f t="shared" si="49"/>
        <v/>
      </c>
      <c r="M73" s="9" t="str">
        <f t="shared" si="52"/>
        <v/>
      </c>
      <c r="N73" s="32" t="str">
        <f t="shared" si="50"/>
        <v/>
      </c>
      <c r="O73" s="32" t="str">
        <f t="shared" si="38"/>
        <v/>
      </c>
      <c r="P73">
        <v>49</v>
      </c>
      <c r="Q73" s="9" t="str">
        <f t="shared" si="51"/>
        <v/>
      </c>
      <c r="R73" s="200" t="str">
        <f t="shared" si="7"/>
        <v/>
      </c>
      <c r="S73" s="56" t="str">
        <f t="shared" si="54"/>
        <v/>
      </c>
      <c r="T73" s="87" t="e">
        <f t="shared" si="39"/>
        <v>#N/A</v>
      </c>
      <c r="U73" s="33" t="e">
        <f t="shared" si="53"/>
        <v>#N/A</v>
      </c>
      <c r="V73" s="89" t="e">
        <f t="shared" si="40"/>
        <v>#N/A</v>
      </c>
      <c r="W73" s="84" t="e">
        <f t="shared" si="78"/>
        <v>#N/A</v>
      </c>
      <c r="X73" s="91" t="str">
        <f t="shared" si="79"/>
        <v/>
      </c>
      <c r="Y73" s="56" t="str">
        <f t="shared" si="80"/>
        <v/>
      </c>
      <c r="Z73" s="9" t="str">
        <f t="shared" si="12"/>
        <v/>
      </c>
      <c r="AA73" s="43" t="str">
        <f t="shared" si="13"/>
        <v/>
      </c>
      <c r="AB73" s="98" t="str">
        <f t="shared" si="60"/>
        <v/>
      </c>
      <c r="AC73" s="9" t="str">
        <f t="shared" si="61"/>
        <v/>
      </c>
      <c r="AD73" s="43" t="str">
        <f t="shared" si="62"/>
        <v/>
      </c>
      <c r="AE73" s="97" t="str">
        <f t="shared" si="63"/>
        <v/>
      </c>
      <c r="AF73" s="19" t="str">
        <f t="shared" si="64"/>
        <v/>
      </c>
      <c r="AG73" s="19" t="str">
        <f t="shared" si="18"/>
        <v/>
      </c>
      <c r="AH73" s="19" t="str">
        <f t="shared" si="65"/>
        <v/>
      </c>
      <c r="AI73" s="43" t="str">
        <f t="shared" si="66"/>
        <v/>
      </c>
      <c r="AJ73" s="98" t="str">
        <f t="shared" si="67"/>
        <v/>
      </c>
      <c r="AK73" s="9" t="str">
        <f t="shared" si="68"/>
        <v/>
      </c>
      <c r="AL73" s="9" t="str">
        <f t="shared" si="23"/>
        <v/>
      </c>
      <c r="AM73" s="9" t="str">
        <f t="shared" si="69"/>
        <v/>
      </c>
      <c r="AN73" s="51" t="str">
        <f t="shared" si="70"/>
        <v/>
      </c>
      <c r="AO73" s="98" t="str">
        <f t="shared" si="71"/>
        <v/>
      </c>
      <c r="AP73" s="103" t="str">
        <f t="shared" si="72"/>
        <v/>
      </c>
      <c r="AQ73" s="98" t="str">
        <f t="shared" si="26"/>
        <v/>
      </c>
      <c r="AR73" s="9" t="str">
        <f t="shared" si="27"/>
        <v/>
      </c>
      <c r="AS73" s="19" t="str">
        <f t="shared" si="28"/>
        <v/>
      </c>
      <c r="AT73" s="9" t="str">
        <f t="shared" si="29"/>
        <v/>
      </c>
      <c r="AU73" s="84" t="str">
        <f t="shared" si="30"/>
        <v/>
      </c>
      <c r="AV73" s="106" t="str">
        <f t="shared" si="73"/>
        <v/>
      </c>
      <c r="AW73" s="112" t="str">
        <f t="shared" si="31"/>
        <v/>
      </c>
      <c r="AX73" s="107" t="str">
        <f t="shared" si="32"/>
        <v/>
      </c>
      <c r="AY73" s="108" t="str">
        <f t="shared" si="33"/>
        <v/>
      </c>
      <c r="AZ73" s="56" t="str">
        <f t="shared" si="34"/>
        <v/>
      </c>
      <c r="BA73" s="51" t="str">
        <f t="shared" si="43"/>
        <v/>
      </c>
      <c r="BC73" s="61" t="str">
        <f t="shared" si="44"/>
        <v/>
      </c>
      <c r="BD73" s="56">
        <f t="shared" si="57"/>
        <v>95</v>
      </c>
      <c r="BE73" s="32">
        <f t="shared" si="58"/>
        <v>-11.333333333333336</v>
      </c>
      <c r="BH73" s="32">
        <f t="shared" si="47"/>
        <v>95</v>
      </c>
      <c r="BI73">
        <f t="shared" si="48"/>
        <v>42.72711060665096</v>
      </c>
    </row>
    <row r="74" spans="1:61">
      <c r="A74" s="42">
        <v>50</v>
      </c>
      <c r="B74" s="33">
        <f t="shared" si="81"/>
        <v>25</v>
      </c>
      <c r="C74" s="77" t="str">
        <f t="shared" si="74"/>
        <v/>
      </c>
      <c r="D74" s="33" t="str">
        <f t="shared" si="75"/>
        <v/>
      </c>
      <c r="E74" s="43"/>
      <c r="F74" s="42">
        <v>50</v>
      </c>
      <c r="G74" s="9">
        <f t="shared" si="76"/>
        <v>-135.74999999999997</v>
      </c>
      <c r="H74" s="9" t="str">
        <f t="shared" si="36"/>
        <v/>
      </c>
      <c r="I74" s="72" t="str">
        <f t="shared" si="59"/>
        <v/>
      </c>
      <c r="J74" s="84" t="str">
        <f t="shared" si="77"/>
        <v/>
      </c>
      <c r="K74" s="81">
        <v>50</v>
      </c>
      <c r="L74" s="9" t="str">
        <f t="shared" si="49"/>
        <v/>
      </c>
      <c r="M74" s="9" t="str">
        <f t="shared" si="52"/>
        <v/>
      </c>
      <c r="N74" s="32" t="str">
        <f t="shared" si="50"/>
        <v/>
      </c>
      <c r="O74" s="32" t="str">
        <f t="shared" si="38"/>
        <v/>
      </c>
      <c r="P74">
        <v>50</v>
      </c>
      <c r="Q74" s="9" t="str">
        <f t="shared" si="51"/>
        <v/>
      </c>
      <c r="R74" s="200" t="str">
        <f t="shared" si="7"/>
        <v/>
      </c>
      <c r="S74" s="56" t="str">
        <f t="shared" si="54"/>
        <v/>
      </c>
      <c r="T74" s="87" t="e">
        <f t="shared" si="39"/>
        <v>#N/A</v>
      </c>
      <c r="U74" s="33" t="e">
        <f t="shared" si="53"/>
        <v>#N/A</v>
      </c>
      <c r="V74" s="89" t="e">
        <f t="shared" si="40"/>
        <v>#N/A</v>
      </c>
      <c r="W74" s="84" t="e">
        <f t="shared" si="78"/>
        <v>#N/A</v>
      </c>
      <c r="X74" s="91" t="str">
        <f t="shared" si="79"/>
        <v/>
      </c>
      <c r="Y74" s="56" t="str">
        <f t="shared" si="80"/>
        <v/>
      </c>
      <c r="Z74" s="9" t="str">
        <f t="shared" si="12"/>
        <v/>
      </c>
      <c r="AA74" s="43" t="str">
        <f t="shared" si="13"/>
        <v/>
      </c>
      <c r="AB74" s="98" t="str">
        <f t="shared" si="60"/>
        <v/>
      </c>
      <c r="AC74" s="9" t="str">
        <f t="shared" si="61"/>
        <v/>
      </c>
      <c r="AD74" s="43" t="str">
        <f t="shared" si="62"/>
        <v/>
      </c>
      <c r="AE74" s="97" t="str">
        <f t="shared" si="63"/>
        <v/>
      </c>
      <c r="AF74" s="19" t="str">
        <f t="shared" si="64"/>
        <v/>
      </c>
      <c r="AG74" s="19" t="str">
        <f t="shared" si="18"/>
        <v/>
      </c>
      <c r="AH74" s="19" t="str">
        <f t="shared" si="65"/>
        <v/>
      </c>
      <c r="AI74" s="43" t="str">
        <f t="shared" si="66"/>
        <v/>
      </c>
      <c r="AJ74" s="98" t="str">
        <f t="shared" si="67"/>
        <v/>
      </c>
      <c r="AK74" s="9" t="str">
        <f t="shared" si="68"/>
        <v/>
      </c>
      <c r="AL74" s="9" t="str">
        <f t="shared" si="23"/>
        <v/>
      </c>
      <c r="AM74" s="9" t="str">
        <f t="shared" si="69"/>
        <v/>
      </c>
      <c r="AN74" s="51" t="str">
        <f t="shared" si="70"/>
        <v/>
      </c>
      <c r="AO74" s="98" t="str">
        <f t="shared" si="71"/>
        <v/>
      </c>
      <c r="AP74" s="103" t="str">
        <f t="shared" si="72"/>
        <v/>
      </c>
      <c r="AQ74" s="98" t="str">
        <f t="shared" si="26"/>
        <v/>
      </c>
      <c r="AR74" s="9" t="str">
        <f t="shared" si="27"/>
        <v/>
      </c>
      <c r="AS74" s="19" t="str">
        <f t="shared" si="28"/>
        <v/>
      </c>
      <c r="AT74" s="9" t="str">
        <f t="shared" si="29"/>
        <v/>
      </c>
      <c r="AU74" s="84" t="str">
        <f t="shared" si="30"/>
        <v/>
      </c>
      <c r="AV74" s="106" t="str">
        <f t="shared" si="73"/>
        <v/>
      </c>
      <c r="AW74" s="112" t="str">
        <f t="shared" si="31"/>
        <v/>
      </c>
      <c r="AX74" s="107" t="str">
        <f t="shared" si="32"/>
        <v/>
      </c>
      <c r="AY74" s="108" t="str">
        <f t="shared" si="33"/>
        <v/>
      </c>
      <c r="AZ74" s="56" t="str">
        <f t="shared" si="34"/>
        <v/>
      </c>
      <c r="BA74" s="51" t="str">
        <f t="shared" si="43"/>
        <v/>
      </c>
      <c r="BC74" s="61" t="str">
        <f t="shared" si="44"/>
        <v/>
      </c>
      <c r="BD74" s="56">
        <f t="shared" si="57"/>
        <v>95</v>
      </c>
      <c r="BE74" s="32">
        <f t="shared" si="58"/>
        <v>-11.333333333333336</v>
      </c>
      <c r="BH74" s="32">
        <f t="shared" si="47"/>
        <v>95</v>
      </c>
      <c r="BI74">
        <f t="shared" si="48"/>
        <v>42.72711060665096</v>
      </c>
    </row>
    <row r="75" spans="1:61" ht="13.5" thickBot="1">
      <c r="A75" s="44">
        <v>51</v>
      </c>
      <c r="B75" s="45">
        <f t="shared" si="81"/>
        <v>30</v>
      </c>
      <c r="C75" s="78" t="str">
        <f t="shared" si="74"/>
        <v/>
      </c>
      <c r="D75" s="33" t="str">
        <f t="shared" si="75"/>
        <v/>
      </c>
      <c r="E75" s="46"/>
      <c r="F75" s="44">
        <v>51</v>
      </c>
      <c r="G75" s="139">
        <f t="shared" si="76"/>
        <v>-111.99999999999997</v>
      </c>
      <c r="H75" s="139" t="str">
        <f t="shared" si="36"/>
        <v/>
      </c>
      <c r="I75" s="73" t="str">
        <f t="shared" si="59"/>
        <v/>
      </c>
      <c r="J75" s="84" t="str">
        <f t="shared" si="77"/>
        <v/>
      </c>
      <c r="K75" s="81">
        <v>51</v>
      </c>
      <c r="L75" s="9" t="str">
        <f t="shared" si="49"/>
        <v/>
      </c>
      <c r="M75" s="9" t="str">
        <f t="shared" si="52"/>
        <v/>
      </c>
      <c r="N75" s="32" t="str">
        <f t="shared" si="50"/>
        <v/>
      </c>
      <c r="O75" s="32" t="str">
        <f t="shared" si="38"/>
        <v/>
      </c>
      <c r="P75">
        <v>51</v>
      </c>
      <c r="Q75" s="9" t="str">
        <f t="shared" si="51"/>
        <v/>
      </c>
      <c r="R75" s="200" t="str">
        <f t="shared" si="7"/>
        <v/>
      </c>
      <c r="S75" s="56" t="str">
        <f t="shared" si="54"/>
        <v/>
      </c>
      <c r="T75" s="87" t="e">
        <f t="shared" si="39"/>
        <v>#N/A</v>
      </c>
      <c r="U75" s="33" t="e">
        <f t="shared" si="53"/>
        <v>#N/A</v>
      </c>
      <c r="V75" s="89" t="e">
        <f t="shared" si="40"/>
        <v>#N/A</v>
      </c>
      <c r="W75" s="93" t="e">
        <f t="shared" si="78"/>
        <v>#N/A</v>
      </c>
      <c r="X75" s="91" t="str">
        <f t="shared" si="79"/>
        <v/>
      </c>
      <c r="Y75" s="56" t="str">
        <f t="shared" si="80"/>
        <v/>
      </c>
      <c r="Z75" s="45"/>
      <c r="AA75" s="46"/>
      <c r="AB75" s="44"/>
      <c r="AC75" s="45"/>
      <c r="AD75" s="46"/>
      <c r="AE75" s="44"/>
      <c r="AF75" s="45"/>
      <c r="AG75" s="45"/>
      <c r="AH75" s="45"/>
      <c r="AI75" s="46"/>
      <c r="AJ75" s="44"/>
      <c r="AK75" s="45"/>
      <c r="AL75" s="45"/>
      <c r="AM75" s="45"/>
      <c r="AN75" s="46"/>
      <c r="AO75" s="44"/>
      <c r="AP75" s="46"/>
      <c r="AQ75" s="44"/>
      <c r="AR75" s="45"/>
      <c r="AS75" s="45"/>
      <c r="AT75" s="45"/>
      <c r="AU75" s="46"/>
      <c r="AV75" s="78"/>
      <c r="AW75" s="113" t="str">
        <f t="shared" si="31"/>
        <v/>
      </c>
      <c r="AX75" s="114" t="str">
        <f t="shared" si="32"/>
        <v/>
      </c>
      <c r="AY75" s="115"/>
      <c r="AZ75" s="45"/>
      <c r="BA75" s="46"/>
      <c r="BC75" s="61" t="str">
        <f t="shared" si="44"/>
        <v/>
      </c>
      <c r="BD75" s="56">
        <f t="shared" si="57"/>
        <v>95</v>
      </c>
      <c r="BE75" s="32">
        <f t="shared" si="58"/>
        <v>-11.333333333333336</v>
      </c>
      <c r="BH75" s="32">
        <f t="shared" si="47"/>
        <v>95</v>
      </c>
      <c r="BI75">
        <f t="shared" si="48"/>
        <v>42.72711060665096</v>
      </c>
    </row>
    <row r="76" spans="1:61" ht="13.5" thickBot="1"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AZ76" s="32"/>
    </row>
    <row r="77" spans="1:61" ht="13.5" thickBot="1">
      <c r="X77" t="s">
        <v>66</v>
      </c>
      <c r="AB77" s="42">
        <v>2</v>
      </c>
      <c r="AC77" s="33">
        <v>4</v>
      </c>
      <c r="AD77" s="43">
        <v>5</v>
      </c>
      <c r="AE77" s="42">
        <v>1</v>
      </c>
      <c r="AF77" s="33">
        <v>2</v>
      </c>
      <c r="AG77" s="33">
        <v>3</v>
      </c>
      <c r="AH77" s="33">
        <v>4</v>
      </c>
      <c r="AI77" s="43">
        <v>5</v>
      </c>
      <c r="AJ77" s="42">
        <v>1</v>
      </c>
      <c r="AK77" s="33">
        <v>2</v>
      </c>
      <c r="AL77" s="33">
        <v>3</v>
      </c>
      <c r="AM77" s="33">
        <v>4</v>
      </c>
      <c r="AN77" s="43">
        <v>5</v>
      </c>
      <c r="AO77" s="42"/>
      <c r="AP77" s="43"/>
      <c r="AQ77" s="42">
        <v>1</v>
      </c>
      <c r="AR77" s="33">
        <v>2</v>
      </c>
      <c r="AS77" s="33">
        <v>3</v>
      </c>
      <c r="AT77" s="33">
        <v>4</v>
      </c>
      <c r="AU77" s="43">
        <v>5</v>
      </c>
      <c r="AV77" s="105"/>
      <c r="AW77" s="109"/>
      <c r="AX77" s="110"/>
      <c r="AY77" s="110" t="s">
        <v>56</v>
      </c>
      <c r="AZ77" s="110" t="s">
        <v>57</v>
      </c>
      <c r="BA77" s="111" t="s">
        <v>58</v>
      </c>
    </row>
    <row r="78" spans="1:61">
      <c r="X78" s="69">
        <f>B14</f>
        <v>46.333333333333336</v>
      </c>
      <c r="Y78" s="129">
        <f>C14</f>
        <v>140.50000000000003</v>
      </c>
      <c r="Z78" s="129">
        <f>IF(X79="","",IF(X79-X78&gt;180,X79-X78-360,IF(X79-X78&lt;-180,X79-X78+360,X79-X78)))</f>
        <v>-11.333333333333336</v>
      </c>
      <c r="AA78" s="40">
        <f>IF(Y79="","",IF(ABS(Y79-Y78)&lt;=180,Y79-Y78,(360-ABS(Y79-Y78))*-SIGN(Y79-Y78)))</f>
        <v>95</v>
      </c>
      <c r="AB78" s="69">
        <f>IF(X79="","",7915.70447*LOG(TAN(RADIANS((45+X79/2)))/TAN(RADIANS((45+X78/2)))))</f>
        <v>-900.13715772521255</v>
      </c>
      <c r="AC78" s="129">
        <f t="shared" ref="AC78" si="82">IF(X79="","",7915.70446789782*LOG((TAN(RADIANS(45+X79/2))*(((1-0.0818191908426215*SIN(RADIANS(X79)))/(1+0.0818191908426215*SIN(RADIANS(X79))))^(0.0818191908426215/2)))/(TAN(RADIANS(45+X78/2))*(((1-0.0818191908426215*SIN(RADIANS(X78)))/(1+0.0818191908426215*SIN(RADIANS(X78))))^(0.0818191908426215/2)))))</f>
        <v>-896.68011905179469</v>
      </c>
      <c r="AD78" s="130">
        <f t="shared" ref="AD78" si="83">IF(X79="","",DEGREES(ATAN2(3437.74677078*(LN((TAN(RADIANS(45+X79/2)))/(TAN(RADIANS(45+X78/2)))))-((SIN(RADIANS(X79))-SIN(RADIANS(X78)))*23.0135831934767)-((SIN(RADIANS(X79))^3)-(SIN(RADIANS(X78))^3))*(0.051353890277194)-((SIN(RADIANS(X79))^5)-(SIN(RADIANS(X78))^5))*(0.000206269473292),AA78*60)))</f>
        <v>98.940064344618889</v>
      </c>
      <c r="AE78" s="132">
        <f t="shared" ref="AE78" si="84">IF(X79="","",IF(AA78&lt;0,360+DEGREES(ATAN2(Z78,AA78*COS(RADIANS((X79+X78)/2)))),DEGREES(ATAN2(Z78,AA78*COS(RADIANS((X79+X78)/2))))))</f>
        <v>98.93820146829917</v>
      </c>
      <c r="AF78" s="132">
        <f t="shared" ref="AF78" si="85">IF(X79="","",IF(AA78&lt;0,360+DEGREES(ATAN2(AB78,AA78*60)),DEGREES(ATAN2(AB78,AA78*60))))</f>
        <v>98.973971768620189</v>
      </c>
      <c r="AG78" s="132">
        <f>AF78</f>
        <v>98.973971768620189</v>
      </c>
      <c r="AH78" s="132">
        <f t="shared" ref="AH78" si="86">IF(X79="","",IF(AA78&lt;0,360+DEGREES(ATAN2(AC78,(AA78*60))),DEGREES(ATAN2(AC78,(AA78*60)))))</f>
        <v>98.940064343824019</v>
      </c>
      <c r="AI78" s="133">
        <f t="shared" ref="AI78" si="87">IF(AA78&lt;0,360+AD78,AD78)</f>
        <v>98.940064344618889</v>
      </c>
      <c r="AJ78" s="69">
        <f t="shared" ref="AJ78" si="88">IF(X79="","",IF(Z78=0,(AA78*COS(RADIANS((X79+X78)/2)))*60/SIN(RADIANS(AE78)),Z78*60/COS(RADIANS(AE78))))</f>
        <v>4376.6756100370167</v>
      </c>
      <c r="AK78" s="129">
        <f t="shared" ref="AK78" si="89">IF(X79="","",ABS(IF(Z78=0,(AA78)*60*COS(RADIANS(X78)),IF(AA78=0,(Z78*60),(Z78/COS(RADIANS(AF78)))*60))))</f>
        <v>4359.3721936553102</v>
      </c>
      <c r="AL78" s="129">
        <f>IF(AK78="","",AK78*1.00179527351758)</f>
        <v>4367.1984591078535</v>
      </c>
      <c r="AM78" s="129">
        <f t="shared" ref="AM78" si="90">IF(X79="","",ABS(IF(Z78=0,AA78*60*COS(RADIANS(X79)),(Z78/COS(RADIANS(AH78)))*60)))</f>
        <v>4375.7710362704629</v>
      </c>
      <c r="AN78" s="134">
        <f t="shared" ref="AN78" si="91">IF(X79="","",IF(Z78=0,ABS(AA78*60*COS(((ATAN(TAN(RADIANS(X79))*(1-0.08181919034^2)^0.5))))*1.001795274),IF(AA78=0,ABS(((60.006994*Z78)-8.660102*(SIN(RADIANS((2*X79)))-SIN(RADIANS((2*X78)))))),ABS((((60.006994*Z78)-8.660102*(SIN(RADIANS((2*X79)))-SIN(RADIANS((2*X78))))))/COS(RADIANS(AI78))))))</f>
        <v>4372.9806787938551</v>
      </c>
      <c r="AO78" s="69">
        <f>HLOOKUP($C$11,$AE$77:$AI$78,2)</f>
        <v>98.940064344618889</v>
      </c>
      <c r="AP78" s="133">
        <f>IF(X79="","",IF($D$11=3,ROUND(AO78,),IF($D$11=2,0.5*ROUND(AO78/0.5,),ROUND(AO78,1))))</f>
        <v>98.9</v>
      </c>
      <c r="AQ78" s="69">
        <f>IF(X79="","",IF(Z78=0,(AA78*COS(RADIANS((X79+X78)/2)))*60/SIN(RADIANS(AP78)),Z78*60/COS(RADIANS(AP78))))</f>
        <v>4395.3093018832296</v>
      </c>
      <c r="AR78" s="129">
        <f>IF(X79="","",ABS(IF(Z78=0,(AA78)*60*COS(RADIANS(X78)),IF(AA78=0,(Z78*60),(Z78/COS(RADIANS(AP78)))*60))))</f>
        <v>4395.3093018832296</v>
      </c>
      <c r="AS78" s="129">
        <f>IF(AR78="","",AR78*1.00179527351758)</f>
        <v>4403.2000842744728</v>
      </c>
      <c r="AT78" s="129">
        <f>IF(X79="","",ABS(IF(Z78=0,AA78*60*COS(RADIANS(X79)),(Z78/COS(RADIANS(AP78)))*60)))</f>
        <v>4395.3093018832296</v>
      </c>
      <c r="AU78" s="130">
        <f>IF(X79="","",IF(Z78=0,ABS(AA78*60*COS(((ATAN(TAN(RADIANS(X79))*(1-0.08181919034^2)^0.5))))*1.001795274),IF(AA78=0,ABS(((60.006994*Z78)-8.660102*(SIN(RADIANS((2*X79)))-SIN(RADIANS((2*X78)))))),ABS((((60.006994*Z78)-8.660102*(SIN(RADIANS((2*X79)))-SIN(RADIANS((2*X78))))))/COS(RADIANS(AP78))))))</f>
        <v>4392.5064855622168</v>
      </c>
      <c r="AV78" s="121">
        <f>IF($E$11=1,HLOOKUP($C$11,$AQ$77:$AU$78,2),HLOOKUP($C$11,$AJ$77:$AN$78,2))</f>
        <v>4372.9806787938551</v>
      </c>
      <c r="AW78" s="135"/>
      <c r="AX78" s="136"/>
      <c r="AY78" s="137">
        <f>IF(AP78="","",AP78)</f>
        <v>98.9</v>
      </c>
      <c r="AZ78" s="138">
        <f>IF(AV78="","",ROUND(AV78,2))</f>
        <v>4372.9799999999996</v>
      </c>
      <c r="BA78" s="134" t="str">
        <f>IF(AW79="","",AZ129)</f>
        <v/>
      </c>
    </row>
    <row r="79" spans="1:61" ht="13.5" thickBot="1">
      <c r="X79" s="70">
        <f>B15</f>
        <v>35</v>
      </c>
      <c r="Y79" s="139">
        <f>C15</f>
        <v>-124.5</v>
      </c>
      <c r="Z79" s="45"/>
      <c r="AA79" s="45"/>
      <c r="AB79" s="44"/>
      <c r="AC79" s="45"/>
      <c r="AD79" s="46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6"/>
    </row>
    <row r="80" spans="1:61" ht="13.5" thickBot="1">
      <c r="X80" t="s">
        <v>41</v>
      </c>
      <c r="AB80" s="39">
        <v>2</v>
      </c>
      <c r="AC80" s="40">
        <v>4</v>
      </c>
      <c r="AD80" s="41">
        <v>5</v>
      </c>
      <c r="AE80" s="142">
        <v>1</v>
      </c>
      <c r="AF80" s="143">
        <v>2</v>
      </c>
      <c r="AG80" s="143">
        <v>3</v>
      </c>
      <c r="AH80" s="143">
        <v>4</v>
      </c>
      <c r="AI80" s="144">
        <v>5</v>
      </c>
      <c r="AJ80" s="33">
        <v>1</v>
      </c>
      <c r="AK80" s="33">
        <v>2</v>
      </c>
      <c r="AL80" s="33">
        <v>3</v>
      </c>
      <c r="AM80" s="33">
        <v>4</v>
      </c>
      <c r="AN80" s="43">
        <v>5</v>
      </c>
      <c r="AQ80" s="39">
        <v>1</v>
      </c>
      <c r="AR80" s="40">
        <v>2</v>
      </c>
      <c r="AS80" s="40">
        <v>3</v>
      </c>
      <c r="AT80" s="40">
        <v>4</v>
      </c>
      <c r="AU80" s="41">
        <v>5</v>
      </c>
      <c r="AW80" s="109"/>
      <c r="AX80" s="110"/>
      <c r="AY80" s="110" t="s">
        <v>56</v>
      </c>
      <c r="AZ80" s="110" t="s">
        <v>57</v>
      </c>
      <c r="BA80" s="111" t="s">
        <v>58</v>
      </c>
    </row>
    <row r="81" spans="10:53">
      <c r="W81" s="140" t="s">
        <v>67</v>
      </c>
      <c r="X81" s="69">
        <f>X78</f>
        <v>46.333333333333336</v>
      </c>
      <c r="Y81" s="129">
        <f>Y78</f>
        <v>140.50000000000003</v>
      </c>
      <c r="Z81" s="129">
        <f>IF(X82="","",IF(X82-X81&gt;180,X82-X81-360,IF(X82-X81&lt;-180,X82-X81+360,X82-X81)))</f>
        <v>0</v>
      </c>
      <c r="AA81" s="129">
        <f>IF(Y82="","",IF(ABS(Y82-Y81)&lt;=180,Y82-Y81,(360-ABS(Y82-Y81))*-SIGN(Y82-Y81)))</f>
        <v>33.370224527358317</v>
      </c>
      <c r="AB81" s="69">
        <f>IF(X82="","",7915.70447*LOG(TAN(RADIANS((45+X82/2)))/TAN(RADIANS((45+X81/2)))))</f>
        <v>0</v>
      </c>
      <c r="AC81" s="129">
        <f t="shared" ref="AC81" si="92">IF(X82="","",7915.70446789782*LOG((TAN(RADIANS(45+X82/2))*(((1-0.0818191908426215*SIN(RADIANS(X82)))/(1+0.0818191908426215*SIN(RADIANS(X82))))^(0.0818191908426215/2)))/(TAN(RADIANS(45+X81/2))*(((1-0.0818191908426215*SIN(RADIANS(X81)))/(1+0.0818191908426215*SIN(RADIANS(X81))))^(0.0818191908426215/2)))))</f>
        <v>0</v>
      </c>
      <c r="AD81" s="129">
        <f t="shared" ref="AD81" si="93">IF(X82="","",DEGREES(ATAN2(3437.74677078*(LN((TAN(RADIANS(45+X82/2)))/(TAN(RADIANS(45+X81/2)))))-((SIN(RADIANS(X82))-SIN(RADIANS(X81)))*23.0135831934767)-((SIN(RADIANS(X82))^3)-(SIN(RADIANS(X81))^3))*(0.051353890277194)-((SIN(RADIANS(X82))^5)-(SIN(RADIANS(X81))^5))*(0.000206269473292),AA81*60)))</f>
        <v>90</v>
      </c>
      <c r="AE81" s="131">
        <f t="shared" ref="AE81" si="94">IF(X82="","",IF(AA81&lt;0,360+DEGREES(ATAN2(Z81,AA81*COS(RADIANS((X82+X81)/2)))),DEGREES(ATAN2(Z81,AA81*COS(RADIANS((X82+X81)/2))))))</f>
        <v>90</v>
      </c>
      <c r="AF81" s="132">
        <f t="shared" ref="AF81" si="95">IF(X82="","",IF(AA81&lt;0,360+DEGREES(ATAN2(AB81,AA81*60)),DEGREES(ATAN2(AB81,AA81*60))))</f>
        <v>90</v>
      </c>
      <c r="AG81" s="132">
        <f>AF81</f>
        <v>90</v>
      </c>
      <c r="AH81" s="132">
        <f t="shared" ref="AH81" si="96">IF(X82="","",IF(AA81&lt;0,360+DEGREES(ATAN2(AC81,(AA81*60))),DEGREES(ATAN2(AC81,(AA81*60)))))</f>
        <v>90</v>
      </c>
      <c r="AI81" s="133">
        <f t="shared" ref="AI81" si="97">IF(AA81&lt;0,360+AD81,AD81)</f>
        <v>90</v>
      </c>
      <c r="AJ81" s="69">
        <f>IF(X82="","",IF(Z81=0,(AA81*COS(RADIANS((X82+X81)/2)))*60/SIN(RADIANS(AE81)),Z81*60/COS(RADIANS(AE81))))</f>
        <v>1382.4516952585209</v>
      </c>
      <c r="AK81" s="129">
        <f t="shared" ref="AK81" si="98">IF(X82="","",ABS(IF(Z81=0,(AA81)*60*COS(RADIANS(X81)),IF(AA81=0,(Z81*60),(Z81/COS(RADIANS(AF81)))*60))))</f>
        <v>1382.4516952585211</v>
      </c>
      <c r="AL81" s="129">
        <f>IF(AK81="","",AK81*1.00179527351758)</f>
        <v>1384.9335741763523</v>
      </c>
      <c r="AM81" s="129">
        <f t="shared" ref="AM81" si="99">IF(X82="","",ABS(IF(Z81=0,AA81*60*COS(RADIANS(X82)),(Z81/COS(RADIANS(AH81)))*60)))</f>
        <v>1382.4516952585211</v>
      </c>
      <c r="AN81" s="138">
        <f t="shared" ref="AN81" si="100">IF(X82="","",IF(Z81=0,ABS(AA81*60*COS(((ATAN(TAN(RADIANS(X82))*(1-0.08181919034^2)^0.5))))*1.001795274),IF(AA81=0,ABS(((60.006994*Z81)-8.660102*(SIN(RADIANS((2*X82)))-SIN(RADIANS((2*X81)))))),ABS((((60.006994*Z81)-8.660102*(SIN(RADIANS((2*X82)))-SIN(RADIANS((2*X81))))))/COS(RADIANS(AI81))))))</f>
        <v>1387.3656212323599</v>
      </c>
      <c r="AO81" s="69">
        <f>HLOOKUP($C$11,$AE$80:$AI$82,2)</f>
        <v>90</v>
      </c>
      <c r="AP81" s="132">
        <f>IF(X82="","",IF($D$11=3,ROUND(AO81,),IF($D$11=2,0.5*ROUND(AO81/0.5,),ROUND(AO81,1))))</f>
        <v>90</v>
      </c>
      <c r="AQ81" s="69">
        <f>IF(X82="","",IF(Z81=0,(AA81*COS(RADIANS((X82+X81)/2)))*60/SIN(RADIANS(AP81)),Z81*60/COS(RADIANS(AP81))))</f>
        <v>1382.4516952585209</v>
      </c>
      <c r="AR81" s="129">
        <f>IF(X82="","",ABS(IF(Z81=0,(AA81)*60*COS(RADIANS(X81)),IF(AA81=0,(Z81*60),(Z81/COS(RADIANS(AP81)))*60))))</f>
        <v>1382.4516952585211</v>
      </c>
      <c r="AS81" s="129">
        <f>IF(AR81="","",AR81*1.00179527351758)</f>
        <v>1384.9335741763523</v>
      </c>
      <c r="AT81" s="129">
        <f>IF(X82="","",ABS(IF(Z81=0,AA81*60*COS(RADIANS(X82)),(Z81/COS(RADIANS(AP81)))*60)))</f>
        <v>1382.4516952585211</v>
      </c>
      <c r="AU81" s="130">
        <f>IF(X82="","",IF(Z81=0,ABS(AA81*60*COS(((ATAN(TAN(RADIANS(X82))*(1-0.08181919034^2)^0.5))))*1.001795274),IF(AA81=0,ABS(((60.006994*Z81)-8.660102*(SIN(RADIANS((2*X82)))-SIN(RADIANS((2*X81)))))),ABS((((60.006994*Z81)-8.660102*(SIN(RADIANS((2*X82)))-SIN(RADIANS((2*X81))))))/COS(RADIANS(AP81))))))</f>
        <v>1387.3656212323599</v>
      </c>
      <c r="AV81" s="121">
        <f>IF($E$11=1,HLOOKUP($C$11,$AQ$80:$AU$82,2),HLOOKUP($C$11,$AJ$80:$AN$82,2))</f>
        <v>1387.3656212323599</v>
      </c>
      <c r="AW81" s="39"/>
      <c r="AX81" s="40"/>
      <c r="AY81" s="137">
        <f>IF(AP81="","",AP81)</f>
        <v>90</v>
      </c>
      <c r="AZ81" s="138">
        <f>IF(AV81="","",ROUND(AV81,2))</f>
        <v>1387.37</v>
      </c>
      <c r="BA81" s="130">
        <f>SUM(AZ81:AZ82)</f>
        <v>4271.03</v>
      </c>
    </row>
    <row r="82" spans="10:53">
      <c r="J82" s="72"/>
      <c r="W82" s="140" t="s">
        <v>68</v>
      </c>
      <c r="X82" s="98">
        <f>Y16</f>
        <v>46.333333333333336</v>
      </c>
      <c r="Y82" s="9">
        <f>AB17</f>
        <v>173.87022452735835</v>
      </c>
      <c r="Z82" s="9">
        <f>IF(X83="","",IF(X83-X82&gt;180,X83-X82-360,IF(X83-X82&lt;-180,X83-X82+360,X83-X82)))</f>
        <v>-11.333333333333336</v>
      </c>
      <c r="AA82" s="9">
        <f>IF(Y83="","",IF(ABS(Y83-Y82)&lt;=180,Y83-Y82,(360-ABS(Y83-Y82))*-SIGN(Y83-Y82)))</f>
        <v>61.629775472641654</v>
      </c>
      <c r="AB82" s="98">
        <f>IF(X83="","",7915.70447*LOG(TAN(RADIANS((45+X83/2)))/TAN(RADIANS((45+X82/2)))))</f>
        <v>-900.13715772521255</v>
      </c>
      <c r="AC82" s="9">
        <f t="shared" ref="AC82" si="101">IF(X83="","",7915.70446789782*LOG((TAN(RADIANS(45+X83/2))*(((1-0.0818191908426215*SIN(RADIANS(X83)))/(1+0.0818191908426215*SIN(RADIANS(X83))))^(0.0818191908426215/2)))/(TAN(RADIANS(45+X82/2))*(((1-0.0818191908426215*SIN(RADIANS(X82)))/(1+0.0818191908426215*SIN(RADIANS(X82))))^(0.0818191908426215/2)))))</f>
        <v>-896.68011905179469</v>
      </c>
      <c r="AD82" s="9">
        <f t="shared" ref="AD82" si="102">IF(X83="","",DEGREES(ATAN2(3437.74677078*(LN((TAN(RADIANS(45+X83/2)))/(TAN(RADIANS(45+X82/2)))))-((SIN(RADIANS(X83))-SIN(RADIANS(X82)))*23.0135831934767)-((SIN(RADIANS(X83))^3)-(SIN(RADIANS(X82))^3))*(0.051353890277194)-((SIN(RADIANS(X83))^5)-(SIN(RADIANS(X82))^5))*(0.000206269473292),AA82*60)))</f>
        <v>103.63060985084357</v>
      </c>
      <c r="AE82" s="97">
        <f>IF(X83="","",IF(AA82&lt;0,360+DEGREES(ATAN2(Z82,AA82*COS(RADIANS((X83+X82)/2)))),DEGREES(ATAN2(Z82,AA82*COS(RADIANS((X83+X82)/2))))))</f>
        <v>103.62783063717261</v>
      </c>
      <c r="AF82" s="19">
        <f t="shared" ref="AF82" si="103">IF(X83="","",IF(AA82&lt;0,360+DEGREES(ATAN2(AB82,AA82*60)),DEGREES(ATAN2(AB82,AA82*60))))</f>
        <v>103.68118966373889</v>
      </c>
      <c r="AG82" s="19">
        <f>AF82</f>
        <v>103.68118966373889</v>
      </c>
      <c r="AH82" s="19">
        <f t="shared" ref="AH82" si="104">IF(X83="","",IF(AA82&lt;0,360+DEGREES(ATAN2(AC82,(AA82*60))),DEGREES(ATAN2(AC82,(AA82*60)))))</f>
        <v>103.63060984965773</v>
      </c>
      <c r="AI82" s="103">
        <f t="shared" ref="AI82" si="105">IF(AA82&lt;0,360+AD82,AD82)</f>
        <v>103.63060985084357</v>
      </c>
      <c r="AJ82" s="98">
        <f>IF(X83="","",IF(Z82=0,(AA82*COS(RADIANS((X83+X82)/2)))*60/SIN(RADIANS(AE82)),Z82*60/COS(RADIANS(AE82))))</f>
        <v>2886.0739043731132</v>
      </c>
      <c r="AK82" s="9">
        <f t="shared" ref="AK82" si="106">IF(X83="","",ABS(IF(Z82=0,(AA82)*60*COS(RADIANS(X82)),IF(AA82=0,(Z82*60),(Z82/COS(RADIANS(AF82)))*60))))</f>
        <v>2875.0312107841341</v>
      </c>
      <c r="AL82" s="9">
        <f>IF(AK82="","",AK82*1.00179527351758)</f>
        <v>2880.1926781790708</v>
      </c>
      <c r="AM82" s="9">
        <f t="shared" ref="AM82" si="107">IF(X83="","",ABS(IF(Z82=0,AA82*60*COS(RADIANS(X83)),(Z82/COS(RADIANS(AH82)))*60)))</f>
        <v>2885.4965886085843</v>
      </c>
      <c r="AN82" s="56">
        <f t="shared" ref="AN82" si="108">IF(X83="","",IF(Z82=0,ABS(AA82*60*COS(((ATAN(TAN(RADIANS(X83))*(1-0.08181919034^2)^0.5))))*1.001795274),IF(AA82=0,ABS(((60.006994*Z82)-8.660102*(SIN(RADIANS((2*X83)))-SIN(RADIANS((2*X82)))))),ABS((((60.006994*Z82)-8.660102*(SIN(RADIANS((2*X83)))-SIN(RADIANS((2*X82))))))/COS(RADIANS(AI82))))))</f>
        <v>2883.656554731765</v>
      </c>
      <c r="AO82" s="98">
        <f>HLOOKUP($C$11,$AE$80:$AI$82,3)</f>
        <v>103.63060985084357</v>
      </c>
      <c r="AP82" s="19">
        <f>IF(X83="","",IF($D$11=3,ROUND(AO82,),IF($D$11=2,0.5*ROUND(AO82/0.5,),ROUND(AO82,1))))</f>
        <v>103.6</v>
      </c>
      <c r="AQ82" s="98">
        <f>IF(X83="","",IF(Z82=0,(AA82*COS(RADIANS((X83+X82)/2)))*60/SIN(RADIANS(AP82)),Z82*60/COS(RADIANS(AP82))))</f>
        <v>2891.8682027124755</v>
      </c>
      <c r="AR82" s="9">
        <f>IF(X83="","",ABS(IF(Z82=0,(AA82)*60*COS(RADIANS(X82)),IF(AA82=0,(Z82*60),(Z82/COS(RADIANS(AP82)))*60))))</f>
        <v>2891.8682027124755</v>
      </c>
      <c r="AS82" s="9">
        <f>IF(AR82="","",AR82*1.00179527351758)</f>
        <v>2897.0598971131367</v>
      </c>
      <c r="AT82" s="9">
        <f>IF(X83="","",ABS(IF(Z82=0,AA82*60*COS(RADIANS(X83)),(Z82/COS(RADIANS(AP82)))*60)))</f>
        <v>2891.8682027124755</v>
      </c>
      <c r="AU82" s="84">
        <f>IF(X83="","",IF(Z82=0,ABS(AA82*60*COS(((ATAN(TAN(RADIANS(X83))*(1-0.08181919034^2)^0.5))))*1.001795274),IF(AA82=0,ABS(((60.006994*Z82)-8.660102*(SIN(RADIANS((2*X83)))-SIN(RADIANS((2*X82)))))),ABS((((60.006994*Z82)-8.660102*(SIN(RADIANS((2*X83)))-SIN(RADIANS((2*X82))))))/COS(RADIANS(AP82))))))</f>
        <v>2890.0241060084491</v>
      </c>
      <c r="AV82" s="106">
        <f>IF($E$11=1,HLOOKUP($C$11,$AQ$80:$AU$82,3),HLOOKUP($C$11,$AJ$80:$AN$82,3))</f>
        <v>2883.656554731765</v>
      </c>
      <c r="AW82" s="42"/>
      <c r="AX82" s="33"/>
      <c r="AY82" s="108">
        <f>IF(AP82="","",AP82)</f>
        <v>103.6</v>
      </c>
      <c r="AZ82" s="56">
        <f>IF(AV82="","",ROUND(AV82,2))</f>
        <v>2883.66</v>
      </c>
      <c r="BA82" s="43"/>
    </row>
    <row r="83" spans="10:53" ht="13.5" thickBot="1">
      <c r="J83" s="72"/>
      <c r="W83" s="140" t="s">
        <v>67</v>
      </c>
      <c r="X83" s="70">
        <f>X79</f>
        <v>35</v>
      </c>
      <c r="Y83" s="139">
        <f>Y79</f>
        <v>-124.5</v>
      </c>
      <c r="Z83" s="45"/>
      <c r="AA83" s="45"/>
      <c r="AB83" s="44"/>
      <c r="AC83" s="45"/>
      <c r="AD83" s="45"/>
      <c r="AE83" s="44"/>
      <c r="AF83" s="45"/>
      <c r="AG83" s="45"/>
      <c r="AH83" s="45"/>
      <c r="AI83" s="46"/>
      <c r="AJ83" s="44"/>
      <c r="AK83" s="45"/>
      <c r="AL83" s="45"/>
      <c r="AM83" s="45"/>
      <c r="AN83" s="45"/>
      <c r="AO83" s="44"/>
      <c r="AP83" s="45"/>
      <c r="AQ83" s="44"/>
      <c r="AR83" s="45"/>
      <c r="AS83" s="45"/>
      <c r="AT83" s="45"/>
      <c r="AU83" s="46"/>
      <c r="AV83" s="78"/>
      <c r="AW83" s="44"/>
      <c r="AX83" s="45"/>
      <c r="AY83" s="45"/>
      <c r="AZ83" s="45"/>
      <c r="BA83" s="46"/>
    </row>
    <row r="84" spans="10:53" ht="13.5" thickBot="1">
      <c r="J84" s="72"/>
      <c r="X84" t="s">
        <v>55</v>
      </c>
      <c r="AB84" s="42">
        <v>2</v>
      </c>
      <c r="AC84" s="33">
        <v>4</v>
      </c>
      <c r="AD84" s="33">
        <v>5</v>
      </c>
      <c r="AE84" s="39">
        <v>1</v>
      </c>
      <c r="AF84" s="40">
        <v>2</v>
      </c>
      <c r="AG84" s="40">
        <v>3</v>
      </c>
      <c r="AH84" s="40">
        <v>4</v>
      </c>
      <c r="AI84" s="41">
        <v>5</v>
      </c>
      <c r="AJ84" s="142">
        <v>1</v>
      </c>
      <c r="AK84" s="143">
        <v>2</v>
      </c>
      <c r="AL84" s="143">
        <v>3</v>
      </c>
      <c r="AM84" s="143">
        <v>4</v>
      </c>
      <c r="AN84" s="144">
        <v>5</v>
      </c>
      <c r="AQ84" s="42">
        <v>1</v>
      </c>
      <c r="AR84" s="33">
        <v>2</v>
      </c>
      <c r="AS84" s="33">
        <v>3</v>
      </c>
      <c r="AT84" s="33">
        <v>4</v>
      </c>
      <c r="AU84" s="43">
        <v>5</v>
      </c>
      <c r="AW84" s="109"/>
      <c r="AX84" s="110"/>
      <c r="AY84" s="110" t="s">
        <v>56</v>
      </c>
      <c r="AZ84" s="110" t="s">
        <v>57</v>
      </c>
      <c r="BA84" s="111" t="s">
        <v>58</v>
      </c>
    </row>
    <row r="85" spans="10:53">
      <c r="J85" s="72"/>
      <c r="X85" s="69">
        <f>X78</f>
        <v>46.333333333333336</v>
      </c>
      <c r="Y85" s="129">
        <f>Y78</f>
        <v>140.50000000000003</v>
      </c>
      <c r="Z85" s="129">
        <f>IF(X86="","",IF(X86-X85&gt;180,X86-X85-360,IF(X86-X85&lt;-180,X86-X85+360,X86-X85)))</f>
        <v>0</v>
      </c>
      <c r="AA85" s="129">
        <f>IF(Y86="","",IF(ABS(Y86-Y85)&lt;=180,Y86-Y85,(360-ABS(Y86-Y85))*-SIGN(Y86-Y85)))</f>
        <v>0</v>
      </c>
      <c r="AB85" s="69">
        <f>IF(X86="","",7915.70447*LOG(TAN(RADIANS((45+X86/2)))/TAN(RADIANS((45+X85/2)))))</f>
        <v>0</v>
      </c>
      <c r="AC85" s="129">
        <f t="shared" ref="AC85" si="109">IF(X86="","",7915.70446789782*LOG((TAN(RADIANS(45+X86/2))*(((1-0.0818191908426215*SIN(RADIANS(X86)))/(1+0.0818191908426215*SIN(RADIANS(X86))))^(0.0818191908426215/2)))/(TAN(RADIANS(45+X85/2))*(((1-0.0818191908426215*SIN(RADIANS(X85)))/(1+0.0818191908426215*SIN(RADIANS(X85))))^(0.0818191908426215/2)))))</f>
        <v>0</v>
      </c>
      <c r="AD85" s="129" t="e">
        <f t="shared" ref="AD85" si="110">IF(X86="","",DEGREES(ATAN2(3437.74677078*(LN((TAN(RADIANS(45+X86/2)))/(TAN(RADIANS(45+X85/2)))))-((SIN(RADIANS(X86))-SIN(RADIANS(X85)))*23.0135831934767)-((SIN(RADIANS(X86))^3)-(SIN(RADIANS(X85))^3))*(0.051353890277194)-((SIN(RADIANS(X86))^5)-(SIN(RADIANS(X85))^5))*(0.000206269473292),AA85*60)))</f>
        <v>#DIV/0!</v>
      </c>
      <c r="AE85" s="131" t="e">
        <f>IF(X86="","",IF(AA85&lt;0,360+DEGREES(ATAN2(Z85,AA85*COS(RADIANS((X86+X85)/2)))),DEGREES(ATAN2(Z85,AA85*COS(RADIANS((X86+X85)/2))))))</f>
        <v>#DIV/0!</v>
      </c>
      <c r="AF85" s="132" t="e">
        <f t="shared" ref="AF85" si="111">IF(X86="","",IF(AA85&lt;0,360+DEGREES(ATAN2(AB85,AA85*60)),DEGREES(ATAN2(AB85,AA85*60))))</f>
        <v>#DIV/0!</v>
      </c>
      <c r="AG85" s="132" t="e">
        <f>AF85</f>
        <v>#DIV/0!</v>
      </c>
      <c r="AH85" s="132" t="e">
        <f t="shared" ref="AH85" si="112">IF(X86="","",IF(AA85&lt;0,360+DEGREES(ATAN2(AC85,(AA85*60))),DEGREES(ATAN2(AC85,(AA85*60)))))</f>
        <v>#DIV/0!</v>
      </c>
      <c r="AI85" s="133" t="e">
        <f t="shared" ref="AI85" si="113">IF(AA85&lt;0,360+AD85,AD85)</f>
        <v>#DIV/0!</v>
      </c>
      <c r="AJ85" s="69" t="e">
        <f>IF(X86="","",IF(Z85=0,(AA85*COS(RADIANS((X86+X85)/2)))*60/SIN(RADIANS(AE85)),Z85*60/COS(RADIANS(AE85))))</f>
        <v>#DIV/0!</v>
      </c>
      <c r="AK85" s="129">
        <f t="shared" ref="AK85" si="114">IF(X86="","",ABS(IF(Z85=0,(AA85)*60*COS(RADIANS(X85)),IF(AA85=0,(Z85*60),(Z85/COS(RADIANS(AF85)))*60))))</f>
        <v>0</v>
      </c>
      <c r="AL85" s="129">
        <f>IF(AK85="","",AK85*1.00179527351758)</f>
        <v>0</v>
      </c>
      <c r="AM85" s="129">
        <f t="shared" ref="AM85" si="115">IF(X86="","",ABS(IF(Z85=0,AA85*60*COS(RADIANS(X86)),(Z85/COS(RADIANS(AH85)))*60)))</f>
        <v>0</v>
      </c>
      <c r="AN85" s="138">
        <f t="shared" ref="AN85" si="116">IF(X86="","",IF(Z85=0,ABS(AA85*60*COS(((ATAN(TAN(RADIANS(X86))*(1-0.08181919034^2)^0.5))))*1.001795274),IF(AA85=0,ABS(((60.006994*Z85)-8.660102*(SIN(RADIANS((2*X86)))-SIN(RADIANS((2*X85)))))),ABS((((60.006994*Z85)-8.660102*(SIN(RADIANS((2*X86)))-SIN(RADIANS((2*X85))))))/COS(RADIANS(AI85))))))</f>
        <v>0</v>
      </c>
      <c r="AO85" s="69" t="e">
        <f>HLOOKUP($C$11,$AE$84:$AI$87,2)</f>
        <v>#DIV/0!</v>
      </c>
      <c r="AP85" s="132" t="e">
        <f>IF(X86="","",IF($D$11=3,ROUND(AO85,),IF($D$11=2,0.5*ROUND(AO85/0.5,),ROUND(AO85,1))))</f>
        <v>#DIV/0!</v>
      </c>
      <c r="AQ85" s="69" t="e">
        <f>IF(X86="","",IF(Z85=0,(AA85*COS(RADIANS((X86+X85)/2)))*60/SIN(RADIANS(AP85)),Z85*60/COS(RADIANS(AP85))))</f>
        <v>#DIV/0!</v>
      </c>
      <c r="AR85" s="129">
        <f>IF(X86="","",ABS(IF(Z85=0,(AA85)*60*COS(RADIANS(X85)),IF(AA85=0,(Z85*60),(Z85/COS(RADIANS(AP85)))*60))))</f>
        <v>0</v>
      </c>
      <c r="AS85" s="129">
        <f>IF(AR85="","",AR85*1.00179527351758)</f>
        <v>0</v>
      </c>
      <c r="AT85" s="129">
        <f>IF(X86="","",ABS(IF(Z85=0,AA85*60*COS(RADIANS(X86)),(Z85/COS(RADIANS(AP85)))*60)))</f>
        <v>0</v>
      </c>
      <c r="AU85" s="129">
        <f>IF(X86="","",IF(Z85=0,ABS(AA85*60*COS(((ATAN(TAN(RADIANS(X86))*(1-0.08181919034^2)^0.5))))*1.001795274),IF(AA85=0,ABS(((60.006994*Z85)-8.660102*(SIN(RADIANS((2*X86)))-SIN(RADIANS((2*X85)))))),ABS((((60.006994*Z85)-8.660102*(SIN(RADIANS((2*X86)))-SIN(RADIANS((2*X85))))))/COS(RADIANS(AP85))))))</f>
        <v>0</v>
      </c>
      <c r="AV85" s="121">
        <f>IF($E$11=1,HLOOKUP($C$11,$AQ$84:$AU$87,2),HLOOKUP($C$11,$AJ$84:$AN$87,2))</f>
        <v>0</v>
      </c>
      <c r="AW85" s="42"/>
      <c r="AX85" s="33"/>
      <c r="AY85" s="108" t="e">
        <f>IF(AP85="","",AP85)</f>
        <v>#DIV/0!</v>
      </c>
      <c r="AZ85" s="56">
        <f>IF(AV85="","",ROUND(AV85,2))</f>
        <v>0</v>
      </c>
      <c r="BA85" s="84">
        <f>SUM(AZ85:AZ87)</f>
        <v>4240.1400000000003</v>
      </c>
    </row>
    <row r="86" spans="10:53">
      <c r="J86" s="72"/>
      <c r="X86" s="42">
        <f>M16</f>
        <v>46.333333333333336</v>
      </c>
      <c r="Y86" s="33">
        <f>P16</f>
        <v>140.50000000000003</v>
      </c>
      <c r="Z86" s="9">
        <f t="shared" ref="Z86" si="117">IF(X87="","",IF(X87-X86&gt;180,X87-X86-360,IF(X87-X86&lt;-180,X87-X86+360,X87-X86)))</f>
        <v>0</v>
      </c>
      <c r="AA86" s="9">
        <f t="shared" ref="AA86:AA87" si="118">IF(Y87="","",IF(ABS(Y87-Y86)&lt;=180,Y87-Y86,(360-ABS(Y87-Y86))*-SIGN(Y87-Y86)))</f>
        <v>46.940146088748349</v>
      </c>
      <c r="AB86" s="98">
        <f t="shared" ref="AB86:AB87" si="119">IF(X87="","",7915.70447*LOG(TAN(RADIANS((45+X87/2)))/TAN(RADIANS((45+X86/2)))))</f>
        <v>0</v>
      </c>
      <c r="AC86" s="9">
        <f t="shared" ref="AC86:AC87" si="120">IF(X87="","",7915.70446789782*LOG((TAN(RADIANS(45+X87/2))*(((1-0.0818191908426215*SIN(RADIANS(X87)))/(1+0.0818191908426215*SIN(RADIANS(X87))))^(0.0818191908426215/2)))/(TAN(RADIANS(45+X86/2))*(((1-0.0818191908426215*SIN(RADIANS(X86)))/(1+0.0818191908426215*SIN(RADIANS(X86))))^(0.0818191908426215/2)))))</f>
        <v>0</v>
      </c>
      <c r="AD86" s="9">
        <f t="shared" ref="AD86:AD87" si="121">IF(X87="","",DEGREES(ATAN2(3437.74677078*(LN((TAN(RADIANS(45+X87/2)))/(TAN(RADIANS(45+X86/2)))))-((SIN(RADIANS(X87))-SIN(RADIANS(X86)))*23.0135831934767)-((SIN(RADIANS(X87))^3)-(SIN(RADIANS(X86))^3))*(0.051353890277194)-((SIN(RADIANS(X87))^5)-(SIN(RADIANS(X86))^5))*(0.000206269473292),AA86*60)))</f>
        <v>90</v>
      </c>
      <c r="AE86" s="97">
        <f t="shared" ref="AE86:AE87" si="122">IF(X87="","",IF(AA86&lt;0,360+DEGREES(ATAN2(Z86,AA86*COS(RADIANS((X87+X86)/2)))),DEGREES(ATAN2(Z86,AA86*COS(RADIANS((X87+X86)/2))))))</f>
        <v>90</v>
      </c>
      <c r="AF86" s="19">
        <f t="shared" ref="AF86:AF87" si="123">IF(X87="","",IF(AA86&lt;0,360+DEGREES(ATAN2(AB86,AA86*60)),DEGREES(ATAN2(AB86,AA86*60))))</f>
        <v>90</v>
      </c>
      <c r="AG86" s="19">
        <f t="shared" ref="AG86:AG87" si="124">AF86</f>
        <v>90</v>
      </c>
      <c r="AH86" s="19">
        <f t="shared" ref="AH86:AH87" si="125">IF(X87="","",IF(AA86&lt;0,360+DEGREES(ATAN2(AC86,(AA86*60))),DEGREES(ATAN2(AC86,(AA86*60)))))</f>
        <v>90</v>
      </c>
      <c r="AI86" s="103">
        <f t="shared" ref="AI86:AI87" si="126">IF(AA86&lt;0,360+AD86,AD86)</f>
        <v>90</v>
      </c>
      <c r="AJ86" s="98">
        <f t="shared" ref="AJ86:AJ87" si="127">IF(X87="","",IF(Z86=0,(AA86*COS(RADIANS((X87+X86)/2)))*60/SIN(RADIANS(AE86)),Z86*60/COS(RADIANS(AE86))))</f>
        <v>1944.6223528664364</v>
      </c>
      <c r="AK86" s="9">
        <f t="shared" ref="AK86:AK87" si="128">IF(X87="","",ABS(IF(Z86=0,(AA86)*60*COS(RADIANS(X86)),IF(AA86=0,(Z86*60),(Z86/COS(RADIANS(AF86)))*60))))</f>
        <v>1944.6223528664361</v>
      </c>
      <c r="AL86" s="9">
        <f t="shared" ref="AL86:AL87" si="129">IF(AK86="","",AK86*1.00179527351758)</f>
        <v>1948.1134818782311</v>
      </c>
      <c r="AM86" s="9">
        <f t="shared" ref="AM86:AM87" si="130">IF(X87="","",ABS(IF(Z86=0,AA86*60*COS(RADIANS(X87)),(Z86/COS(RADIANS(AH86)))*60)))</f>
        <v>1944.6223528664361</v>
      </c>
      <c r="AN86" s="56">
        <f t="shared" ref="AN86:AN87" si="131">IF(X87="","",IF(Z86=0,ABS(AA86*60*COS(((ATAN(TAN(RADIANS(X87))*(1-0.08181919034^2)^0.5))))*1.001795274),IF(AA86=0,ABS(((60.006994*Z86)-8.660102*(SIN(RADIANS((2*X87)))-SIN(RADIANS((2*X86)))))),ABS((((60.006994*Z86)-8.660102*(SIN(RADIANS((2*X87)))-SIN(RADIANS((2*X86))))))/COS(RADIANS(AI86))))))</f>
        <v>1951.5345150214193</v>
      </c>
      <c r="AO86" s="98">
        <f>HLOOKUP($C$11,$AE$84:$AI$87,3)</f>
        <v>90</v>
      </c>
      <c r="AP86" s="19">
        <f>IF(X87="","",IF($D$11=3,ROUND(AO86,),IF($D$11=2,0.5*ROUND(AO86/0.5,),ROUND(AO86,1))))</f>
        <v>90</v>
      </c>
      <c r="AQ86" s="98">
        <f t="shared" ref="AQ86:AQ87" si="132">IF(X87="","",IF(Z86=0,(AA86*COS(RADIANS((X87+X86)/2)))*60/SIN(RADIANS(AP86)),Z86*60/COS(RADIANS(AP86))))</f>
        <v>1944.6223528664364</v>
      </c>
      <c r="AR86" s="9">
        <f t="shared" ref="AR86:AR87" si="133">IF(X87="","",ABS(IF(Z86=0,(AA86)*60*COS(RADIANS(X86)),IF(AA86=0,(Z86*60),(Z86/COS(RADIANS(AP86)))*60))))</f>
        <v>1944.6223528664361</v>
      </c>
      <c r="AS86" s="9">
        <f t="shared" ref="AS86:AS87" si="134">IF(AR86="","",AR86*1.00179527351758)</f>
        <v>1948.1134818782311</v>
      </c>
      <c r="AT86" s="9">
        <f t="shared" ref="AT86:AT87" si="135">IF(X87="","",ABS(IF(Z86=0,AA86*60*COS(RADIANS(X87)),(Z86/COS(RADIANS(AP86)))*60)))</f>
        <v>1944.6223528664361</v>
      </c>
      <c r="AU86" s="9">
        <f t="shared" ref="AU86:AU87" si="136">IF(X87="","",IF(Z86=0,ABS(AA86*60*COS(((ATAN(TAN(RADIANS(X87))*(1-0.08181919034^2)^0.5))))*1.001795274),IF(AA86=0,ABS(((60.006994*Z86)-8.660102*(SIN(RADIANS((2*X87)))-SIN(RADIANS((2*X86)))))),ABS((((60.006994*Z86)-8.660102*(SIN(RADIANS((2*X87)))-SIN(RADIANS((2*X86))))))/COS(RADIANS(AP86))))))</f>
        <v>1951.5345150214193</v>
      </c>
      <c r="AV86" s="106">
        <f>IF($E$11=1,HLOOKUP($C$11,$AQ$84:$AU$87,3),HLOOKUP($C$11,$AJ$84:$AN$87,3))</f>
        <v>1951.5345150214193</v>
      </c>
      <c r="AW86" s="42"/>
      <c r="AX86" s="33"/>
      <c r="AY86" s="108">
        <f t="shared" ref="AY86:AY87" si="137">IF(AP86="","",AP86)</f>
        <v>90</v>
      </c>
      <c r="AZ86" s="56">
        <f t="shared" ref="AZ86:AZ87" si="138">IF(AV86="","",ROUND(AV86,2))</f>
        <v>1951.53</v>
      </c>
      <c r="BA86" s="43"/>
    </row>
    <row r="87" spans="10:53">
      <c r="J87" s="72"/>
      <c r="X87" s="42">
        <f>M16</f>
        <v>46.333333333333336</v>
      </c>
      <c r="Y87" s="33">
        <f>P17</f>
        <v>-172.55985391125162</v>
      </c>
      <c r="Z87" s="9">
        <f>IF(X88="","",IF(X88-X87&gt;180,X88-X87-360,IF(X88-X87&lt;-180,X88-X87+360,X88-X87)))</f>
        <v>-11.333333333333336</v>
      </c>
      <c r="AA87" s="9">
        <f t="shared" si="118"/>
        <v>48.059853911251622</v>
      </c>
      <c r="AB87" s="98">
        <f t="shared" si="119"/>
        <v>-900.13715772521255</v>
      </c>
      <c r="AC87" s="9">
        <f t="shared" si="120"/>
        <v>-896.68011905179469</v>
      </c>
      <c r="AD87" s="9">
        <f t="shared" si="121"/>
        <v>107.27357849525791</v>
      </c>
      <c r="AE87" s="97">
        <f t="shared" si="122"/>
        <v>107.27013767801563</v>
      </c>
      <c r="AF87" s="19">
        <f t="shared" si="123"/>
        <v>107.33619072920867</v>
      </c>
      <c r="AG87" s="19">
        <f t="shared" si="124"/>
        <v>107.33619072920867</v>
      </c>
      <c r="AH87" s="19">
        <f t="shared" si="125"/>
        <v>107.27357849378977</v>
      </c>
      <c r="AI87" s="103">
        <f t="shared" si="126"/>
        <v>107.27357849525791</v>
      </c>
      <c r="AJ87" s="98">
        <f t="shared" si="127"/>
        <v>2290.5092157459007</v>
      </c>
      <c r="AK87" s="9">
        <f t="shared" si="128"/>
        <v>2282.0485343075088</v>
      </c>
      <c r="AL87" s="9">
        <f t="shared" si="129"/>
        <v>2286.145435606983</v>
      </c>
      <c r="AM87" s="9">
        <f t="shared" si="130"/>
        <v>2290.0668606422441</v>
      </c>
      <c r="AN87" s="56">
        <f t="shared" si="131"/>
        <v>2288.6065225496864</v>
      </c>
      <c r="AO87" s="98">
        <f>HLOOKUP($C$11,$AE$84:$AI$87,4)</f>
        <v>107.27357849525791</v>
      </c>
      <c r="AP87" s="19">
        <f>IF(X88="","",IF($D$11=3,ROUND(AO87,),IF($D$11=2,0.5*ROUND(AO87/0.5,),ROUND(AO87,1))))</f>
        <v>107.3</v>
      </c>
      <c r="AQ87" s="98">
        <f t="shared" si="132"/>
        <v>2286.6760418438334</v>
      </c>
      <c r="AR87" s="9">
        <f t="shared" si="133"/>
        <v>2286.6760418438334</v>
      </c>
      <c r="AS87" s="9">
        <f t="shared" si="134"/>
        <v>2290.7812507850399</v>
      </c>
      <c r="AT87" s="9">
        <f t="shared" si="135"/>
        <v>2286.6760418438334</v>
      </c>
      <c r="AU87" s="9">
        <f t="shared" si="136"/>
        <v>2285.2178662091396</v>
      </c>
      <c r="AV87" s="106">
        <f>IF($E$11=1,HLOOKUP($C$11,$AQ$84:$AU$87,4),HLOOKUP($C$11,$AJ$84:$AN$87,4))</f>
        <v>2288.6065225496864</v>
      </c>
      <c r="AW87" s="42"/>
      <c r="AX87" s="33"/>
      <c r="AY87" s="108">
        <f t="shared" si="137"/>
        <v>107.3</v>
      </c>
      <c r="AZ87" s="56">
        <f t="shared" si="138"/>
        <v>2288.61</v>
      </c>
      <c r="BA87" s="43"/>
    </row>
    <row r="88" spans="10:53" ht="13.5" thickBot="1">
      <c r="J88" s="72"/>
      <c r="X88" s="70">
        <f>X79</f>
        <v>35</v>
      </c>
      <c r="Y88" s="139">
        <f>Y79</f>
        <v>-124.5</v>
      </c>
      <c r="Z88" s="45"/>
      <c r="AA88" s="45"/>
      <c r="AB88" s="44"/>
      <c r="AC88" s="45"/>
      <c r="AD88" s="45"/>
      <c r="AE88" s="44"/>
      <c r="AF88" s="45"/>
      <c r="AG88" s="45"/>
      <c r="AH88" s="45"/>
      <c r="AI88" s="46"/>
      <c r="AJ88" s="44"/>
      <c r="AK88" s="45"/>
      <c r="AL88" s="45"/>
      <c r="AM88" s="45"/>
      <c r="AN88" s="45"/>
      <c r="AO88" s="44"/>
      <c r="AP88" s="45"/>
      <c r="AQ88" s="44"/>
      <c r="AR88" s="45"/>
      <c r="AS88" s="45"/>
      <c r="AT88" s="45"/>
      <c r="AU88" s="45"/>
      <c r="AV88" s="78"/>
      <c r="AW88" s="44"/>
      <c r="AX88" s="45"/>
      <c r="AY88" s="45"/>
      <c r="AZ88" s="45"/>
      <c r="BA88" s="46"/>
    </row>
    <row r="89" spans="10:53">
      <c r="J89" s="72"/>
    </row>
    <row r="90" spans="10:53">
      <c r="J90" s="72"/>
    </row>
    <row r="91" spans="10:53">
      <c r="J91" s="72"/>
    </row>
    <row r="92" spans="10:53">
      <c r="J92" s="72"/>
    </row>
  </sheetData>
  <mergeCells count="12">
    <mergeCell ref="AQ23:AU23"/>
    <mergeCell ref="AJ23:AN23"/>
    <mergeCell ref="AB23:AD23"/>
    <mergeCell ref="AE23:AI23"/>
    <mergeCell ref="G1:H1"/>
    <mergeCell ref="I1:K1"/>
    <mergeCell ref="T24:W24"/>
    <mergeCell ref="X15:AB15"/>
    <mergeCell ref="A1:B1"/>
    <mergeCell ref="AO23:AP23"/>
    <mergeCell ref="C1:D1"/>
    <mergeCell ref="E1:F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4"/>
  <sheetViews>
    <sheetView view="pageBreakPreview" zoomScaleNormal="100" zoomScaleSheetLayoutView="100" zoomScalePageLayoutView="70" workbookViewId="0">
      <selection activeCell="L4" sqref="L4"/>
    </sheetView>
  </sheetViews>
  <sheetFormatPr defaultRowHeight="12.75"/>
  <cols>
    <col min="3" max="4" width="13.140625" customWidth="1"/>
    <col min="6" max="6" width="11" customWidth="1"/>
    <col min="7" max="7" width="4.85546875" customWidth="1"/>
    <col min="8" max="8" width="11.5703125" customWidth="1"/>
    <col min="13" max="13" width="15.85546875" customWidth="1"/>
  </cols>
  <sheetData>
    <row r="1" spans="1:13" ht="20.25">
      <c r="A1" s="256" t="str">
        <f>'GREAT CIRCLE'!K2</f>
        <v>WP Great Circle Sailing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</row>
    <row r="2" spans="1:13">
      <c r="C2" s="5" t="s">
        <v>3</v>
      </c>
      <c r="D2" s="5" t="s">
        <v>4</v>
      </c>
      <c r="F2" s="231"/>
    </row>
    <row r="3" spans="1:13">
      <c r="A3" s="237" t="s">
        <v>76</v>
      </c>
      <c r="B3" s="237"/>
      <c r="C3" s="233">
        <f>'GREAT CIRCLE'!C4</f>
        <v>4620</v>
      </c>
      <c r="D3" s="234">
        <f>'GREAT CIRCLE'!D4</f>
        <v>14030</v>
      </c>
      <c r="F3" s="232" t="str">
        <f>'GREAT CIRCLE'!A8</f>
        <v>WP NR.</v>
      </c>
      <c r="G3" s="235">
        <f>IF(F3="","",'GREAT CIRCLE'!C8)</f>
        <v>5</v>
      </c>
      <c r="H3" t="str">
        <f>GC!M3</f>
        <v/>
      </c>
    </row>
    <row r="4" spans="1:13">
      <c r="A4" s="237" t="s">
        <v>10</v>
      </c>
      <c r="B4" s="237"/>
      <c r="C4" s="233">
        <f>'GREAT CIRCLE'!C5</f>
        <v>3500</v>
      </c>
      <c r="D4" s="234">
        <f>'GREAT CIRCLE'!D5</f>
        <v>-12430</v>
      </c>
      <c r="F4" s="232" t="str">
        <f>'GREAT CIRCLE'!E8</f>
        <v/>
      </c>
      <c r="G4" s="257" t="str">
        <f>IF(F4="","",'GREAT CIRCLE'!F8)</f>
        <v/>
      </c>
      <c r="H4" s="257"/>
    </row>
  </sheetData>
  <sheetProtection password="CC15" sheet="1" formatCells="0" formatColumns="0" formatRows="0" insertColumns="0" insertRows="0" insertHyperlinks="0" deleteColumns="0" deleteRows="0" sort="0" autoFilter="0" pivotTables="0"/>
  <mergeCells count="4">
    <mergeCell ref="A3:B3"/>
    <mergeCell ref="A4:B4"/>
    <mergeCell ref="A1:M1"/>
    <mergeCell ref="G4:H4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T68"/>
  <sheetViews>
    <sheetView topLeftCell="AC11" zoomScale="145" zoomScaleNormal="145" workbookViewId="0">
      <selection activeCell="AS25" sqref="AS13:AS25"/>
    </sheetView>
  </sheetViews>
  <sheetFormatPr defaultRowHeight="12.75"/>
  <cols>
    <col min="4" max="4" width="10.42578125" bestFit="1" customWidth="1"/>
    <col min="5" max="5" width="12" bestFit="1" customWidth="1"/>
    <col min="31" max="32" width="11.85546875" customWidth="1"/>
    <col min="33" max="33" width="9.7109375" bestFit="1" customWidth="1"/>
    <col min="36" max="36" width="14.5703125" customWidth="1"/>
  </cols>
  <sheetData>
    <row r="1" spans="1:46">
      <c r="A1">
        <v>1</v>
      </c>
      <c r="B1">
        <v>2</v>
      </c>
      <c r="C1">
        <v>3</v>
      </c>
      <c r="D1">
        <v>4</v>
      </c>
      <c r="E1" t="s">
        <v>44</v>
      </c>
      <c r="F1" s="56">
        <f>(6378137^2-(6378137*(1-1/298.257223563))^2)^0.5/6378137</f>
        <v>8.1819190842621486E-2</v>
      </c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</row>
    <row r="2" spans="1:46" ht="13.5" thickBot="1">
      <c r="A2">
        <f>MATCH('RHUMBLINE SAILING'!D2,SIMPLE,0)</f>
        <v>3</v>
      </c>
      <c r="B2">
        <f>MATCH('RHUMBLINE SAILING'!D3,TC,0)</f>
        <v>1</v>
      </c>
      <c r="C2">
        <f>MATCH('RHUMBLINE SAILING'!D4,YES,0)</f>
        <v>2</v>
      </c>
      <c r="D2">
        <f>MATCH('RHUMBLINE SAILING'!D5,YES,0)</f>
        <v>2</v>
      </c>
      <c r="E2" t="s">
        <v>45</v>
      </c>
      <c r="F2">
        <f>6378137*2*PI()/21600/1852</f>
        <v>1.0017952735175808</v>
      </c>
      <c r="AE2" s="147"/>
      <c r="AF2" s="147"/>
      <c r="AG2" s="38"/>
      <c r="AH2" s="38"/>
      <c r="AI2" s="38"/>
      <c r="AJ2" s="38"/>
    </row>
    <row r="3" spans="1:46" ht="13.5" thickBot="1">
      <c r="J3" s="246" t="s">
        <v>63</v>
      </c>
      <c r="K3" s="247"/>
      <c r="L3" s="248"/>
      <c r="M3" s="253" t="s">
        <v>61</v>
      </c>
      <c r="N3" s="254"/>
      <c r="O3" s="254"/>
      <c r="P3" s="254"/>
      <c r="Q3" s="255"/>
      <c r="R3" s="253" t="s">
        <v>62</v>
      </c>
      <c r="S3" s="254"/>
      <c r="T3" s="254"/>
      <c r="U3" s="254"/>
      <c r="V3" s="255"/>
      <c r="W3" s="250" t="s">
        <v>61</v>
      </c>
      <c r="X3" s="251"/>
      <c r="Y3" s="253" t="s">
        <v>62</v>
      </c>
      <c r="Z3" s="254"/>
      <c r="AA3" s="254"/>
      <c r="AB3" s="254"/>
      <c r="AC3" s="255"/>
      <c r="AD3" s="104" t="s">
        <v>62</v>
      </c>
      <c r="AJ3" s="38"/>
      <c r="AS3" t="s">
        <v>77</v>
      </c>
      <c r="AT3" t="s">
        <v>78</v>
      </c>
    </row>
    <row r="4" spans="1:46">
      <c r="C4" t="s">
        <v>69</v>
      </c>
      <c r="F4" s="90" t="s">
        <v>3</v>
      </c>
      <c r="G4" s="94" t="s">
        <v>4</v>
      </c>
      <c r="H4" s="95" t="s">
        <v>59</v>
      </c>
      <c r="I4" s="95" t="s">
        <v>60</v>
      </c>
      <c r="J4" s="42">
        <v>2</v>
      </c>
      <c r="K4" s="33">
        <v>4</v>
      </c>
      <c r="L4" s="43">
        <v>5</v>
      </c>
      <c r="M4" s="42">
        <v>1</v>
      </c>
      <c r="N4" s="33">
        <v>2</v>
      </c>
      <c r="O4" s="33">
        <v>3</v>
      </c>
      <c r="P4" s="33">
        <v>4</v>
      </c>
      <c r="Q4" s="43">
        <v>5</v>
      </c>
      <c r="R4" s="42">
        <v>1</v>
      </c>
      <c r="S4" s="33">
        <v>2</v>
      </c>
      <c r="T4" s="33">
        <v>3</v>
      </c>
      <c r="U4" s="33">
        <v>4</v>
      </c>
      <c r="V4" s="43">
        <v>5</v>
      </c>
      <c r="W4" s="42"/>
      <c r="X4" s="43"/>
      <c r="Y4" s="42">
        <v>1</v>
      </c>
      <c r="Z4" s="33">
        <v>2</v>
      </c>
      <c r="AA4" s="33">
        <v>3</v>
      </c>
      <c r="AB4" s="33">
        <v>4</v>
      </c>
      <c r="AC4" s="43">
        <v>5</v>
      </c>
      <c r="AD4" s="105"/>
      <c r="AE4" s="109" t="s">
        <v>3</v>
      </c>
      <c r="AF4" s="110" t="s">
        <v>4</v>
      </c>
      <c r="AG4" s="110" t="s">
        <v>56</v>
      </c>
      <c r="AH4" s="110" t="s">
        <v>57</v>
      </c>
      <c r="AI4" s="111" t="s">
        <v>58</v>
      </c>
      <c r="AL4" s="39">
        <v>1</v>
      </c>
      <c r="AM4" s="41" t="s">
        <v>28</v>
      </c>
      <c r="AO4" s="39">
        <v>1</v>
      </c>
      <c r="AP4" s="49" t="s">
        <v>27</v>
      </c>
    </row>
    <row r="5" spans="1:46" ht="12.75" customHeight="1">
      <c r="A5" t="e">
        <f>IF(OR(RIGHT('RHUMBLINE SAILING'!B8,1)="S",RIGHT('RHUMBLINE SAILING'!B8,1)="s"),-1,1)*(VALUE(LEFT('RHUMBLINE SAILING'!B8,FIND("° ",'RHUMBLINE SAILING'!B8,1)-1))+VALUE(MID('RHUMBLINE SAILING'!B8,(FIND("° ",'RHUMBLINE SAILING'!B8,1)+2),6))/60)</f>
        <v>#VALUE!</v>
      </c>
      <c r="B5" t="e">
        <f>IF(OR(RIGHT('RHUMBLINE SAILING'!C8,1)="W",RIGHT('RHUMBLINE SAILING'!C8,1)="w"),-1,1)*(VALUE(LEFT('RHUMBLINE SAILING'!C8,FIND("° ",'RHUMBLINE SAILING'!C8,1)-1))+VALUE(MID('RHUMBLINE SAILING'!C8,(FIND("° ",'RHUMBLINE SAILING'!C8,1)+2),6))/60)</f>
        <v>#VALUE!</v>
      </c>
      <c r="C5">
        <v>1</v>
      </c>
      <c r="D5" s="165">
        <f>IF('RHUMBLINE SAILING'!B8="","",IF($D$2=2,'RHUMBLINE SAILING'!B8,TRUNC(A5)*100+(A5-TRUNC(A5))*60))</f>
        <v>604.70000000000005</v>
      </c>
      <c r="E5" s="166">
        <f>IF('RHUMBLINE SAILING'!C8="","",IF($D$2=2,'RHUMBLINE SAILING'!C8,TRUNC(B5)*100+(B5-TRUNC(B5))*60))</f>
        <v>114.8</v>
      </c>
      <c r="F5" s="42">
        <f>IF(D5="","",TRUNC(D5/100)+(D5/100-TRUNC(D5/100))/0.6)</f>
        <v>6.078333333333334</v>
      </c>
      <c r="G5" s="33">
        <f>IF(E5="","",TRUNC(E5/100)+(E5/100-TRUNC(E5/100))/0.6)</f>
        <v>1.2466666666666666</v>
      </c>
      <c r="H5" s="33">
        <f>IF(F6="","",IF(F6-F5&gt;180,F6-F5-360,IF(F6-F5&lt;-180,F6-F5+360,F6-F5)))</f>
        <v>-0.57833333333333403</v>
      </c>
      <c r="I5" s="33">
        <f>IF(G6="","",IF(G6-G5&gt;180,G6-G5-360,IF(G6-G5&lt;-180,G6-G5+360,G6-G5)))</f>
        <v>-3.0000000000000027E-2</v>
      </c>
      <c r="J5" s="98">
        <f>IF(F6="","",7915.70447*LOG(TAN(RADIANS((45+F6/2)))/TAN(RADIANS((45+F5/2)))))</f>
        <v>-34.878035355847594</v>
      </c>
      <c r="K5" s="9">
        <f>IF(F6="","",7915.70446789782*LOG((TAN(RADIANS(45+F6/2))*(((1-0.0818191908426215*SIN(RADIANS(F6)))/(1+0.0818191908426215*SIN(RADIANS(F6))))^(0.0818191908426215/2)))/(TAN(RADIANS(45+F5/2))*(((1-0.0818191908426215*SIN(RADIANS(F5)))/(1+0.0818191908426215*SIN(RADIANS(F5))))^(0.0818191908426215/2)))))</f>
        <v>-34.646910338457005</v>
      </c>
      <c r="L5" s="84">
        <f>IF(F6="","",DEGREES(ATAN2(3437.74677078*(LN((TAN(RADIANS(45+F6/2)))/(TAN(RADIANS(45+F5/2)))))-((SIN(RADIANS(F6))-SIN(RADIANS(F5)))*23.0135831934767)-((SIN(RADIANS(F6))^3)-(SIN(RADIANS(F5))^3))*(0.051353890277194)-((SIN(RADIANS(F6))^5)-(SIN(RADIANS(F5))^5))*(0.000206269473292),I5*60)))</f>
        <v>-177.02600420908041</v>
      </c>
      <c r="M5" s="98">
        <f>IF(F6="","",IF(I5&lt;0,360+DEGREES(ATAN2(H5,I5*COS(RADIANS((F6+F5)/2)))),DEGREES(ATAN2(H5,I5*COS(RADIANS((F6+F5)/2))))))</f>
        <v>182.95433592702128</v>
      </c>
      <c r="N5" s="9">
        <f>IF(F6="","",IF(I5&lt;0,360+DEGREES(ATAN2(J5,I5*60)),DEGREES(ATAN2(J5,I5*60))))</f>
        <v>182.95432314925196</v>
      </c>
      <c r="O5" s="9">
        <f>N5</f>
        <v>182.95432314925196</v>
      </c>
      <c r="P5" s="9">
        <f>IF(F6="","",IF(I5&lt;0,360+DEGREES(ATAN2(K5,(I5*60))),DEGREES(ATAN2(K5,(I5*60)))))</f>
        <v>182.97399579091535</v>
      </c>
      <c r="Q5" s="43">
        <f>IF(I5&lt;0,360+L5,L5)</f>
        <v>182.97399579091959</v>
      </c>
      <c r="R5" s="98">
        <f>IF(F6="","",IF(H5=0,(I5*COS(RADIANS((F6+F5)/2)))*60/SIN(RADIANS(M5)),H5*60/COS(RADIANS(M5))))</f>
        <v>34.746180149382546</v>
      </c>
      <c r="S5" s="9">
        <f>IF(F6="","",ABS(IF(H5=0,(I5)*60*COS(RADIANS(F5)),IF(I5=0,(H5*60),(H5/COS(RADIANS(N5)))*60))))</f>
        <v>34.746179749473789</v>
      </c>
      <c r="T5" s="9">
        <f>IF(S5="","",S5*1.00179527351758)</f>
        <v>34.80855864581509</v>
      </c>
      <c r="U5" s="9">
        <f>IF(F6="","",ABS(IF(H5=0,I5*60*COS(RADIANS(F6)),(H5/COS(RADIANS(P5)))*60)))</f>
        <v>34.746797506373994</v>
      </c>
      <c r="V5" s="84">
        <f>IF(F6="","",IF(H5=0,ABS(I5*60*COS(((ATAN(TAN(RADIANS(F6))*(1-0.08181919034^2)^0.5))))*1.001795274),IF(I5=0,ABS(((60.006994*H5)-8.660102*(SIN(RADIANS((2*F6)))-SIN(RADIANS((2*F5)))))),ABS((((60.006994*H5)-8.660102*(SIN(RADIANS((2*F6)))-SIN(RADIANS((2*F5))))))/COS(RADIANS(Q5))))))</f>
        <v>34.579350238639641</v>
      </c>
      <c r="W5" s="98">
        <f>HLOOKUP($A$2,$M$4:$Q$64,C5+1)</f>
        <v>182.95432314925196</v>
      </c>
      <c r="X5" s="103">
        <f>IF(D6="","",IF($B$2=3,ROUND(W5,),IF($B$2=2,0.5*ROUND(W5/0.5,),ROUND(W5,1))))</f>
        <v>183</v>
      </c>
      <c r="Y5" s="98">
        <f>IF(F6="","",IF(H5=0,(I5*COS(RADIANS((F6+F5)/2)))*60/SIN(RADIANS(X5)),H5*60/COS(RADIANS(X5))))</f>
        <v>34.747620406127908</v>
      </c>
      <c r="Z5" s="9">
        <f>IF(F6="","",ABS(IF(H5=0,(I5)*60*COS(RADIANS(F5)),IF(I5=0,(H5*60),(H5/COS(RADIANS(X5)))*60))))</f>
        <v>34.747620406127901</v>
      </c>
      <c r="AA5" s="9">
        <f>IF(Z5="","",Z5*1.00179527351758)</f>
        <v>34.810001888841938</v>
      </c>
      <c r="AB5" s="9">
        <f>IF(F6="","",ABS(IF(H5=0,I5*60*COS(RADIANS(F6)),(H5/COS(RADIANS(X5)))*60)))</f>
        <v>34.747620406127901</v>
      </c>
      <c r="AC5" s="84">
        <f>IF(F6="","",IF(H5=0,ABS(I5*60*COS(((ATAN(TAN(RADIANS(F6))*(1-0.08181919034^2)^0.5))))*1.001795274),IF(I5=0,ABS(((60.006994*H5)-8.660102*(SIN(RADIANS((2*F6)))-SIN(RADIANS((2*F5)))))),ABS((((60.006994*H5)-8.660102*(SIN(RADIANS((2*F6)))-SIN(RADIANS((2*F5))))))/COS(RADIANS(X5))))))</f>
        <v>34.580169172781467</v>
      </c>
      <c r="AD5" s="169">
        <f>IF($C$2=1,HLOOKUP($A$2,$Y$4:$AC$64,C5+1),HLOOKUP($A$2,$R$4:$V$64,C5+1))</f>
        <v>34.80855864581509</v>
      </c>
      <c r="AE5" s="112">
        <f>IF(F5="","",TRUNC(F5)*100+(F5-TRUNC(F5))*60)</f>
        <v>604.70000000000005</v>
      </c>
      <c r="AF5" s="170">
        <f>IF(G5="","",TRUNC(G5)*100+(G5-TRUNC(G5))*60)</f>
        <v>114.8</v>
      </c>
      <c r="AG5" s="146">
        <f>IF(X5="","",X5)</f>
        <v>183</v>
      </c>
      <c r="AH5" s="55">
        <f>IF(AD5="","",ROUND(AD5,2))</f>
        <v>34.81</v>
      </c>
      <c r="AI5" s="43">
        <f>SUM(AH5:AH63)</f>
        <v>4835.0099999999984</v>
      </c>
      <c r="AL5" s="42">
        <v>2</v>
      </c>
      <c r="AM5" s="43" t="s">
        <v>30</v>
      </c>
      <c r="AO5" s="50">
        <v>2</v>
      </c>
      <c r="AP5" s="51" t="s">
        <v>29</v>
      </c>
      <c r="AR5">
        <v>0</v>
      </c>
      <c r="AS5">
        <v>0</v>
      </c>
      <c r="AT5">
        <v>0</v>
      </c>
    </row>
    <row r="6" spans="1:46" ht="12.75" customHeight="1" thickBot="1">
      <c r="A6" t="e">
        <f>IF(OR(RIGHT('RHUMBLINE SAILING'!B9,1)="S",RIGHT('RHUMBLINE SAILING'!B9,1)="s"),-1,1)*(VALUE(LEFT('RHUMBLINE SAILING'!B9,FIND("° ",'RHUMBLINE SAILING'!B9,1)-1))+VALUE(MID('RHUMBLINE SAILING'!B9,(FIND("° ",'RHUMBLINE SAILING'!B9,1)+2),6))/60)</f>
        <v>#VALUE!</v>
      </c>
      <c r="B6" t="e">
        <f>IF(OR(RIGHT('RHUMBLINE SAILING'!C9,1)="W",RIGHT('RHUMBLINE SAILING'!C9,1)="w"),-1,1)*(VALUE(LEFT('RHUMBLINE SAILING'!C9,FIND("° ",'RHUMBLINE SAILING'!C9,1)-1))+VALUE(MID('RHUMBLINE SAILING'!C9,(FIND("° ",'RHUMBLINE SAILING'!C9,1)+2),6))/60)</f>
        <v>#VALUE!</v>
      </c>
      <c r="C6">
        <v>2</v>
      </c>
      <c r="D6" s="165">
        <f>IF('RHUMBLINE SAILING'!B9="","",IF($D$2=2,'RHUMBLINE SAILING'!B9,TRUNC(A6)*100+(A6-TRUNC(A6))*60))</f>
        <v>530</v>
      </c>
      <c r="E6" s="166">
        <f>IF('RHUMBLINE SAILING'!C9="","",IF($D$2=2,'RHUMBLINE SAILING'!C9,TRUNC(B6)*100+(B6-TRUNC(B6))*60))</f>
        <v>113</v>
      </c>
      <c r="F6" s="42">
        <f t="shared" ref="F6:F64" si="0">IF(D6="","",TRUNC(D6/100)+(D6/100-TRUNC(D6/100))/0.6)</f>
        <v>5.5</v>
      </c>
      <c r="G6" s="33">
        <f t="shared" ref="G6:G64" si="1">IF(E6="","",TRUNC(E6/100)+(E6/100-TRUNC(E6/100))/0.6)</f>
        <v>1.2166666666666666</v>
      </c>
      <c r="H6" s="33">
        <f t="shared" ref="H6:H64" si="2">IF(F7="","",IF(F7-F6&gt;180,F7-F6-360,IF(F7-F6&lt;-180,F7-F6+360,F7-F6)))</f>
        <v>-1.6666666666666665</v>
      </c>
      <c r="I6" s="33">
        <f t="shared" ref="I6:I64" si="3">IF(G7="","",IF(G7-G6&gt;180,G7-G6-360,IF(G7-G6&lt;-180,G7-G6+360,G7-G6)))</f>
        <v>-3.2166666666666668</v>
      </c>
      <c r="J6" s="98">
        <f t="shared" ref="J6:J63" si="4">IF(F7="","",7915.70447*LOG(TAN(RADIANS((45+F7/2)))/TAN(RADIANS((45+F6/2)))))</f>
        <v>-100.33619860156114</v>
      </c>
      <c r="K6" s="9">
        <f t="shared" ref="K6:K63" si="5">IF(F7="","",7915.70446789782*LOG((TAN(RADIANS(45+F7/2))*(((1-0.0818191908426215*SIN(RADIANS(F7)))/(1+0.0818191908426215*SIN(RADIANS(F7))))^(0.0818191908426215/2)))/(TAN(RADIANS(45+F6/2))*(((1-0.0818191908426215*SIN(RADIANS(F6)))/(1+0.0818191908426215*SIN(RADIANS(F6))))^(0.0818191908426215/2)))))</f>
        <v>-99.668973488951067</v>
      </c>
      <c r="L6" s="84">
        <f t="shared" ref="L6:L63" si="6">IF(F7="","",DEGREES(ATAN2(3437.74677078*(LN((TAN(RADIANS(45+F7/2)))/(TAN(RADIANS(45+F6/2)))))-((SIN(RADIANS(F7))-SIN(RADIANS(F6)))*23.0135831934767)-((SIN(RADIANS(F7))^3)-(SIN(RADIANS(F6))^3))*(0.051353890277194)-((SIN(RADIANS(F7))^5)-(SIN(RADIANS(F6))^5))*(0.000206269473292),I6*60)))</f>
        <v>-117.31271475108359</v>
      </c>
      <c r="M6" s="98">
        <f t="shared" ref="M6:M63" si="7">IF(F7="","",IF(I6&lt;0,360+DEGREES(ATAN2(H6,I6*COS(RADIANS((F7+F6)/2)))),DEGREES(ATAN2(H6,I6*COS(RADIANS((F7+F6)/2))))))</f>
        <v>242.53196839003346</v>
      </c>
      <c r="N6" s="9">
        <f t="shared" ref="N6:N63" si="8">IF(F7="","",IF(I6&lt;0,360+DEGREES(ATAN2(J6,I6*60)),DEGREES(ATAN2(J6,I6*60))))</f>
        <v>242.53113060745699</v>
      </c>
      <c r="O6" s="9">
        <f t="shared" ref="O6:O63" si="9">N6</f>
        <v>242.53113060745699</v>
      </c>
      <c r="P6" s="9">
        <f t="shared" ref="P6:P63" si="10">IF(F7="","",IF(I6&lt;0,360+DEGREES(ATAN2(K6,(I6*60))),DEGREES(ATAN2(K6,(I6*60)))))</f>
        <v>242.68728524888286</v>
      </c>
      <c r="Q6" s="43">
        <f t="shared" ref="Q6:Q63" si="11">IF(I6&lt;0,360+L6,L6)</f>
        <v>242.6872852489164</v>
      </c>
      <c r="R6" s="98">
        <f t="shared" ref="R6:R63" si="12">IF(F7="","",IF(H6=0,(I6*COS(RADIANS((F7+F6)/2)))*60/SIN(RADIANS(M6)),H6*60/COS(RADIANS(M6))))</f>
        <v>216.80046161120313</v>
      </c>
      <c r="S6" s="9">
        <f t="shared" ref="S6:S63" si="13">IF(F7="","",ABS(IF(H6=0,(I6)*60*COS(RADIANS(F6)),IF(I6=0,(H6*60),(H6/COS(RADIANS(N6)))*60))))</f>
        <v>216.79436385283623</v>
      </c>
      <c r="T6" s="9">
        <f t="shared" ref="T6:T63" si="14">IF(S6="","",S6*1.00179527351758)</f>
        <v>217.1835690330218</v>
      </c>
      <c r="U6" s="9">
        <f t="shared" ref="U6:U63" si="15">IF(F7="","",ABS(IF(H6=0,I6*60*COS(RADIANS(F7)),(H6/COS(RADIANS(P6)))*60)))</f>
        <v>217.93769307919177</v>
      </c>
      <c r="V6" s="84">
        <f t="shared" ref="V6:V63" si="16">IF(F7="","",IF(H6=0,ABS(I6*60*COS(((ATAN(TAN(RADIANS(F7))*(1-0.08181919034^2)^0.5))))*1.001795274),IF(I6=0,ABS(((60.006994*H6)-8.660102*(SIN(RADIANS((2*F7)))-SIN(RADIANS((2*F6)))))),ABS((((60.006994*H6)-8.660102*(SIN(RADIANS((2*F7)))-SIN(RADIANS((2*F6))))))/COS(RADIANS(Q6))))))</f>
        <v>216.87976320544686</v>
      </c>
      <c r="W6" s="98">
        <f t="shared" ref="W6:W63" si="17">HLOOKUP($A$2,$M$4:$Q$64,C6+1)</f>
        <v>242.53113060745699</v>
      </c>
      <c r="X6" s="103">
        <f t="shared" ref="X6:X63" si="18">IF(D7="","",IF($B$2=3,ROUND(W6,),IF($B$2=2,0.5*ROUND(W6/0.5,),ROUND(W6,1))))</f>
        <v>242.5</v>
      </c>
      <c r="Y6" s="98">
        <f t="shared" ref="Y6:Y63" si="19">IF(F7="","",IF(H6=0,(I6*COS(RADIANS((F7+F6)/2)))*60/SIN(RADIANS(X6)),H6*60/COS(RADIANS(X6))))</f>
        <v>216.56805702001978</v>
      </c>
      <c r="Z6" s="9">
        <f t="shared" ref="Z6:Z63" si="20">IF(F7="","",ABS(IF(H6=0,(I6)*60*COS(RADIANS(F6)),IF(I6=0,(H6*60),(H6/COS(RADIANS(X6)))*60))))</f>
        <v>216.56805702001978</v>
      </c>
      <c r="AA6" s="9">
        <f t="shared" ref="AA6:AA63" si="21">IF(Z6="","",Z6*1.00179527351758)</f>
        <v>216.95685591754156</v>
      </c>
      <c r="AB6" s="9">
        <f t="shared" ref="AB6:AB63" si="22">IF(F7="","",ABS(IF(H6=0,I6*60*COS(RADIANS(F7)),(H6/COS(RADIANS(X6)))*60)))</f>
        <v>216.56805702001978</v>
      </c>
      <c r="AC6" s="84">
        <f t="shared" ref="AC6:AC63" si="23">IF(F7="","",IF(H6=0,ABS(I6*60*COS(((ATAN(TAN(RADIANS(F7))*(1-0.08181919034^2)^0.5))))*1.001795274),IF(I6=0,ABS(((60.006994*H6)-8.660102*(SIN(RADIANS((2*F7)))-SIN(RADIANS((2*F6)))))),ABS((((60.006994*H6)-8.660102*(SIN(RADIANS((2*F7)))-SIN(RADIANS((2*F6))))))/COS(RADIANS(X6))))))</f>
        <v>215.5167757384915</v>
      </c>
      <c r="AD6" s="169">
        <f t="shared" ref="AD6:AD63" si="24">IF($C$2=1,HLOOKUP($A$2,$Y$4:$AC$64,C6+1),HLOOKUP($A$2,$R$4:$V$64,C6+1))</f>
        <v>217.1835690330218</v>
      </c>
      <c r="AE6" s="112">
        <f t="shared" ref="AE6:AE64" si="25">IF(F6="","",TRUNC(F6)*100+(F6-TRUNC(F6))*60)</f>
        <v>530</v>
      </c>
      <c r="AF6" s="170">
        <f t="shared" ref="AF6:AF64" si="26">IF(G6="","",TRUNC(G6)*100+(G6-TRUNC(G6))*60)</f>
        <v>113</v>
      </c>
      <c r="AG6" s="146">
        <f t="shared" ref="AG6:AG63" si="27">IF(X6="","",X6)</f>
        <v>242.5</v>
      </c>
      <c r="AH6" s="55">
        <f t="shared" ref="AH6:AH63" si="28">IF(AD6="","",ROUND(AD6,2))</f>
        <v>217.18</v>
      </c>
      <c r="AI6" s="43">
        <f>IF(AE7="","",AI5-AH5)</f>
        <v>4800.199999999998</v>
      </c>
      <c r="AL6" s="44">
        <v>3</v>
      </c>
      <c r="AM6" s="47" t="s">
        <v>12</v>
      </c>
      <c r="AO6" s="50">
        <v>3</v>
      </c>
      <c r="AP6" s="51" t="s">
        <v>9</v>
      </c>
      <c r="AR6">
        <v>1</v>
      </c>
      <c r="AS6">
        <f>IF(I5="",AS5,AS5+I5)</f>
        <v>-3.0000000000000027E-2</v>
      </c>
      <c r="AT6">
        <f>IF(H5="",AT5,AT5+H5)</f>
        <v>-0.57833333333333403</v>
      </c>
    </row>
    <row r="7" spans="1:46" ht="12.75" customHeight="1">
      <c r="A7" t="e">
        <f>IF(OR(RIGHT('RHUMBLINE SAILING'!B10,1)="S",RIGHT('RHUMBLINE SAILING'!B10,1)="s"),-1,1)*(VALUE(LEFT('RHUMBLINE SAILING'!B10,FIND("° ",'RHUMBLINE SAILING'!B10,1)-1))+VALUE(MID('RHUMBLINE SAILING'!B10,(FIND("° ",'RHUMBLINE SAILING'!B10,1)+2),6))/60)</f>
        <v>#VALUE!</v>
      </c>
      <c r="B7" t="e">
        <f>IF(OR(RIGHT('RHUMBLINE SAILING'!C10,1)="W",RIGHT('RHUMBLINE SAILING'!C10,1)="w"),-1,1)*(VALUE(LEFT('RHUMBLINE SAILING'!C10,FIND("° ",'RHUMBLINE SAILING'!C10,1)-1))+VALUE(MID('RHUMBLINE SAILING'!C10,(FIND("° ",'RHUMBLINE SAILING'!C10,1)+2),6))/60)</f>
        <v>#VALUE!</v>
      </c>
      <c r="C7">
        <v>3</v>
      </c>
      <c r="D7" s="165">
        <f>IF('RHUMBLINE SAILING'!B10="","",IF($D$2=2,'RHUMBLINE SAILING'!B10,TRUNC(A7)*100+(A7-TRUNC(A7))*60))</f>
        <v>350</v>
      </c>
      <c r="E7" s="166">
        <f>IF('RHUMBLINE SAILING'!C10="","",IF($D$2=2,'RHUMBLINE SAILING'!C10,TRUNC(B7)*100+(B7-TRUNC(B7))*60))</f>
        <v>-200</v>
      </c>
      <c r="F7" s="42">
        <f t="shared" si="0"/>
        <v>3.8333333333333335</v>
      </c>
      <c r="G7" s="33">
        <f t="shared" si="1"/>
        <v>-2</v>
      </c>
      <c r="H7" s="33">
        <f t="shared" si="2"/>
        <v>0</v>
      </c>
      <c r="I7" s="33">
        <f t="shared" si="3"/>
        <v>-6</v>
      </c>
      <c r="J7" s="98">
        <f t="shared" si="4"/>
        <v>0</v>
      </c>
      <c r="K7" s="9">
        <f t="shared" si="5"/>
        <v>0</v>
      </c>
      <c r="L7" s="84">
        <f t="shared" si="6"/>
        <v>-90</v>
      </c>
      <c r="M7" s="98">
        <f t="shared" si="7"/>
        <v>270</v>
      </c>
      <c r="N7" s="9">
        <f t="shared" si="8"/>
        <v>270</v>
      </c>
      <c r="O7" s="9">
        <f t="shared" si="9"/>
        <v>270</v>
      </c>
      <c r="P7" s="9">
        <f t="shared" si="10"/>
        <v>270</v>
      </c>
      <c r="Q7" s="43">
        <f t="shared" si="11"/>
        <v>270</v>
      </c>
      <c r="R7" s="98">
        <f t="shared" si="12"/>
        <v>359.19458742313952</v>
      </c>
      <c r="S7" s="9">
        <f t="shared" si="13"/>
        <v>359.19458742313952</v>
      </c>
      <c r="T7" s="9">
        <f t="shared" si="14"/>
        <v>359.83943995359834</v>
      </c>
      <c r="U7" s="9">
        <f t="shared" si="15"/>
        <v>359.19458742313952</v>
      </c>
      <c r="V7" s="84">
        <f t="shared" si="16"/>
        <v>359.84482355208473</v>
      </c>
      <c r="W7" s="98">
        <f t="shared" si="17"/>
        <v>270</v>
      </c>
      <c r="X7" s="103">
        <f t="shared" si="18"/>
        <v>270</v>
      </c>
      <c r="Y7" s="98">
        <f t="shared" si="19"/>
        <v>359.19458742313952</v>
      </c>
      <c r="Z7" s="9">
        <f t="shared" si="20"/>
        <v>359.19458742313952</v>
      </c>
      <c r="AA7" s="9">
        <f t="shared" si="21"/>
        <v>359.83943995359834</v>
      </c>
      <c r="AB7" s="9">
        <f t="shared" si="22"/>
        <v>359.19458742313952</v>
      </c>
      <c r="AC7" s="84">
        <f t="shared" si="23"/>
        <v>359.84482355208473</v>
      </c>
      <c r="AD7" s="169">
        <f t="shared" si="24"/>
        <v>359.83943995359834</v>
      </c>
      <c r="AE7" s="112">
        <f t="shared" si="25"/>
        <v>350</v>
      </c>
      <c r="AF7" s="170">
        <f t="shared" si="26"/>
        <v>-200</v>
      </c>
      <c r="AG7" s="146">
        <f t="shared" si="27"/>
        <v>270</v>
      </c>
      <c r="AH7" s="55">
        <f t="shared" si="28"/>
        <v>359.84</v>
      </c>
      <c r="AI7" s="43">
        <f t="shared" ref="AI7:AI63" si="29">IF(AE8="","",AI6-AH6)</f>
        <v>4583.0199999999977</v>
      </c>
      <c r="AL7" s="39">
        <v>1</v>
      </c>
      <c r="AM7" s="41" t="s">
        <v>18</v>
      </c>
      <c r="AO7" s="50">
        <v>4</v>
      </c>
      <c r="AP7" s="51" t="s">
        <v>31</v>
      </c>
      <c r="AR7">
        <v>2</v>
      </c>
      <c r="AS7">
        <f t="shared" ref="AS7:AS12" si="30">IF(I6="",AS6,AS6+I6)</f>
        <v>-3.246666666666667</v>
      </c>
      <c r="AT7">
        <f t="shared" ref="AT7:AT13" si="31">IF(H6="",AT6,AT6+H6)</f>
        <v>-2.2450000000000006</v>
      </c>
    </row>
    <row r="8" spans="1:46" ht="12.75" customHeight="1" thickBot="1">
      <c r="A8" t="e">
        <f>IF(OR(RIGHT('RHUMBLINE SAILING'!B11,1)="S",RIGHT('RHUMBLINE SAILING'!B11,1)="s"),-1,1)*(VALUE(LEFT('RHUMBLINE SAILING'!B11,FIND("° ",'RHUMBLINE SAILING'!B11,1)-1))+VALUE(MID('RHUMBLINE SAILING'!B11,(FIND("° ",'RHUMBLINE SAILING'!B11,1)+2),6))/60)</f>
        <v>#VALUE!</v>
      </c>
      <c r="B8" t="e">
        <f>IF(OR(RIGHT('RHUMBLINE SAILING'!C11,1)="W",RIGHT('RHUMBLINE SAILING'!C11,1)="w"),-1,1)*(VALUE(LEFT('RHUMBLINE SAILING'!C11,FIND("° ",'RHUMBLINE SAILING'!C11,1)-1))+VALUE(MID('RHUMBLINE SAILING'!C11,(FIND("° ",'RHUMBLINE SAILING'!C11,1)+2),6))/60)</f>
        <v>#VALUE!</v>
      </c>
      <c r="C8">
        <v>4</v>
      </c>
      <c r="D8" s="165">
        <f>IF('RHUMBLINE SAILING'!B11="","",IF($D$2=2,'RHUMBLINE SAILING'!B11,TRUNC(A8)*100+(A8-TRUNC(A8))*60))</f>
        <v>350</v>
      </c>
      <c r="E8" s="166">
        <f>IF('RHUMBLINE SAILING'!C11="","",IF($D$2=2,'RHUMBLINE SAILING'!C11,TRUNC(B8)*100+(B8-TRUNC(B8))*60))</f>
        <v>-800</v>
      </c>
      <c r="F8" s="42">
        <f t="shared" si="0"/>
        <v>3.8333333333333335</v>
      </c>
      <c r="G8" s="33">
        <f t="shared" si="1"/>
        <v>-8</v>
      </c>
      <c r="H8" s="33">
        <f t="shared" si="2"/>
        <v>2.3333333333333326</v>
      </c>
      <c r="I8" s="33">
        <f t="shared" si="3"/>
        <v>-4</v>
      </c>
      <c r="J8" s="98">
        <f t="shared" si="4"/>
        <v>140.54463838887159</v>
      </c>
      <c r="K8" s="9">
        <f t="shared" si="5"/>
        <v>139.61100773460652</v>
      </c>
      <c r="L8" s="84">
        <f t="shared" si="6"/>
        <v>-59.812899637190128</v>
      </c>
      <c r="M8" s="98">
        <f t="shared" si="7"/>
        <v>300.3516001640134</v>
      </c>
      <c r="N8" s="9">
        <f t="shared" si="8"/>
        <v>300.35335320653348</v>
      </c>
      <c r="O8" s="9">
        <f t="shared" si="9"/>
        <v>300.35335320653348</v>
      </c>
      <c r="P8" s="9">
        <f t="shared" si="10"/>
        <v>300.18710036284563</v>
      </c>
      <c r="Q8" s="43">
        <f t="shared" si="11"/>
        <v>300.18710036280987</v>
      </c>
      <c r="R8" s="98">
        <f t="shared" si="12"/>
        <v>277.06039646032315</v>
      </c>
      <c r="S8" s="9">
        <f t="shared" si="13"/>
        <v>277.04592057550491</v>
      </c>
      <c r="T8" s="9">
        <f t="shared" si="14"/>
        <v>277.54329377986767</v>
      </c>
      <c r="U8" s="9">
        <f t="shared" si="15"/>
        <v>278.42669424073426</v>
      </c>
      <c r="V8" s="84">
        <f t="shared" si="16"/>
        <v>277.07806136180244</v>
      </c>
      <c r="W8" s="98">
        <f t="shared" si="17"/>
        <v>300.35335320653348</v>
      </c>
      <c r="X8" s="103">
        <f t="shared" si="18"/>
        <v>300.39999999999998</v>
      </c>
      <c r="Y8" s="98">
        <f t="shared" si="19"/>
        <v>276.66138097156431</v>
      </c>
      <c r="Z8" s="9">
        <f t="shared" si="20"/>
        <v>276.66138097156431</v>
      </c>
      <c r="AA8" s="9">
        <f t="shared" si="21"/>
        <v>277.15806382215965</v>
      </c>
      <c r="AB8" s="9">
        <f t="shared" si="22"/>
        <v>276.66138097156431</v>
      </c>
      <c r="AC8" s="84">
        <f t="shared" si="23"/>
        <v>275.32129885117456</v>
      </c>
      <c r="AD8" s="169">
        <f t="shared" si="24"/>
        <v>277.54329377986767</v>
      </c>
      <c r="AE8" s="112">
        <f t="shared" si="25"/>
        <v>350</v>
      </c>
      <c r="AF8" s="170">
        <f t="shared" si="26"/>
        <v>-800</v>
      </c>
      <c r="AG8" s="146">
        <f t="shared" si="27"/>
        <v>300.39999999999998</v>
      </c>
      <c r="AH8" s="55">
        <f t="shared" si="28"/>
        <v>277.54000000000002</v>
      </c>
      <c r="AI8" s="43">
        <f t="shared" si="29"/>
        <v>4223.1799999999976</v>
      </c>
      <c r="AL8" s="44">
        <v>2</v>
      </c>
      <c r="AM8" s="46" t="s">
        <v>15</v>
      </c>
      <c r="AO8" s="52">
        <v>5</v>
      </c>
      <c r="AP8" s="53" t="s">
        <v>33</v>
      </c>
      <c r="AR8">
        <v>3</v>
      </c>
      <c r="AS8">
        <f t="shared" si="30"/>
        <v>-9.2466666666666661</v>
      </c>
      <c r="AT8">
        <f t="shared" si="31"/>
        <v>-2.2450000000000006</v>
      </c>
    </row>
    <row r="9" spans="1:46" ht="12.75" customHeight="1">
      <c r="A9" t="e">
        <f>IF(OR(RIGHT('RHUMBLINE SAILING'!B12,1)="S",RIGHT('RHUMBLINE SAILING'!B12,1)="s"),-1,1)*(VALUE(LEFT('RHUMBLINE SAILING'!B12,FIND("° ",'RHUMBLINE SAILING'!B12,1)-1))+VALUE(MID('RHUMBLINE SAILING'!B12,(FIND("° ",'RHUMBLINE SAILING'!B12,1)+2),6))/60)</f>
        <v>#VALUE!</v>
      </c>
      <c r="B9" t="e">
        <f>IF(OR(RIGHT('RHUMBLINE SAILING'!C12,1)="W",RIGHT('RHUMBLINE SAILING'!C12,1)="w"),-1,1)*(VALUE(LEFT('RHUMBLINE SAILING'!C12,FIND("° ",'RHUMBLINE SAILING'!C12,1)-1))+VALUE(MID('RHUMBLINE SAILING'!C12,(FIND("° ",'RHUMBLINE SAILING'!C12,1)+2),6))/60)</f>
        <v>#VALUE!</v>
      </c>
      <c r="C9">
        <v>5</v>
      </c>
      <c r="D9" s="165">
        <f>IF('RHUMBLINE SAILING'!B12="","",IF($D$2=2,'RHUMBLINE SAILING'!B12,TRUNC(A9)*100+(A9-TRUNC(A9))*60))</f>
        <v>610</v>
      </c>
      <c r="E9" s="166">
        <f>IF('RHUMBLINE SAILING'!C12="","",IF($D$2=2,'RHUMBLINE SAILING'!C12,TRUNC(B9)*100+(B9-TRUNC(B9))*60))</f>
        <v>-1200</v>
      </c>
      <c r="F9" s="42">
        <f t="shared" si="0"/>
        <v>6.1666666666666661</v>
      </c>
      <c r="G9" s="33">
        <f t="shared" si="1"/>
        <v>-12</v>
      </c>
      <c r="H9" s="33">
        <f t="shared" si="2"/>
        <v>1.3333333333333339</v>
      </c>
      <c r="I9" s="33">
        <f t="shared" si="3"/>
        <v>-2</v>
      </c>
      <c r="J9" s="98">
        <f t="shared" si="4"/>
        <v>80.574219631053623</v>
      </c>
      <c r="K9" s="9">
        <f t="shared" si="5"/>
        <v>80.042434966182086</v>
      </c>
      <c r="L9" s="84">
        <f t="shared" si="6"/>
        <v>-56.295907776025217</v>
      </c>
      <c r="M9" s="98">
        <f t="shared" si="7"/>
        <v>303.87884280798829</v>
      </c>
      <c r="N9" s="9">
        <f t="shared" si="8"/>
        <v>303.87945833520786</v>
      </c>
      <c r="O9" s="9">
        <f t="shared" si="9"/>
        <v>303.87945833520786</v>
      </c>
      <c r="P9" s="9">
        <f t="shared" si="10"/>
        <v>303.70409222401287</v>
      </c>
      <c r="Q9" s="43">
        <f t="shared" si="11"/>
        <v>303.70409222397478</v>
      </c>
      <c r="R9" s="98">
        <f t="shared" si="12"/>
        <v>143.51356920316044</v>
      </c>
      <c r="S9" s="9">
        <f t="shared" si="13"/>
        <v>143.51127303177586</v>
      </c>
      <c r="T9" s="9">
        <f t="shared" si="14"/>
        <v>143.76891501972398</v>
      </c>
      <c r="U9" s="9">
        <f t="shared" si="15"/>
        <v>144.16912137655038</v>
      </c>
      <c r="V9" s="84">
        <f t="shared" si="16"/>
        <v>143.48019690030188</v>
      </c>
      <c r="W9" s="98">
        <f t="shared" si="17"/>
        <v>303.87945833520786</v>
      </c>
      <c r="X9" s="103">
        <f t="shared" si="18"/>
        <v>303.89999999999998</v>
      </c>
      <c r="Y9" s="98">
        <f t="shared" si="19"/>
        <v>143.43469572749447</v>
      </c>
      <c r="Z9" s="9">
        <f t="shared" si="20"/>
        <v>143.4346957274945</v>
      </c>
      <c r="AA9" s="9">
        <f t="shared" si="21"/>
        <v>143.69220023823621</v>
      </c>
      <c r="AB9" s="9">
        <f t="shared" si="22"/>
        <v>143.4346957274945</v>
      </c>
      <c r="AC9" s="84">
        <f t="shared" si="23"/>
        <v>142.749280766878</v>
      </c>
      <c r="AD9" s="169">
        <f t="shared" si="24"/>
        <v>143.76891501972398</v>
      </c>
      <c r="AE9" s="112">
        <f t="shared" si="25"/>
        <v>610</v>
      </c>
      <c r="AF9" s="170">
        <f t="shared" si="26"/>
        <v>-1200</v>
      </c>
      <c r="AG9" s="146">
        <f t="shared" si="27"/>
        <v>303.89999999999998</v>
      </c>
      <c r="AH9" s="55">
        <f t="shared" si="28"/>
        <v>143.77000000000001</v>
      </c>
      <c r="AI9" s="43">
        <f t="shared" si="29"/>
        <v>3945.6399999999976</v>
      </c>
      <c r="AJ9" s="38"/>
      <c r="AR9">
        <v>4</v>
      </c>
      <c r="AS9">
        <f t="shared" si="30"/>
        <v>-13.246666666666666</v>
      </c>
      <c r="AT9">
        <f t="shared" si="31"/>
        <v>8.8333333333332043E-2</v>
      </c>
    </row>
    <row r="10" spans="1:46" ht="12.75" customHeight="1">
      <c r="A10" t="e">
        <f>IF(OR(RIGHT('RHUMBLINE SAILING'!B13,1)="S",RIGHT('RHUMBLINE SAILING'!B13,1)="s"),-1,1)*(VALUE(LEFT('RHUMBLINE SAILING'!B13,FIND("° ",'RHUMBLINE SAILING'!B13,1)-1))+VALUE(MID('RHUMBLINE SAILING'!B13,(FIND("° ",'RHUMBLINE SAILING'!B13,1)+2),6))/60)</f>
        <v>#VALUE!</v>
      </c>
      <c r="B10" t="e">
        <f>IF(OR(RIGHT('RHUMBLINE SAILING'!C13,1)="W",RIGHT('RHUMBLINE SAILING'!C13,1)="w"),-1,1)*(VALUE(LEFT('RHUMBLINE SAILING'!C13,FIND("° ",'RHUMBLINE SAILING'!C13,1)-1))+VALUE(MID('RHUMBLINE SAILING'!C13,(FIND("° ",'RHUMBLINE SAILING'!C13,1)+2),6))/60)</f>
        <v>#VALUE!</v>
      </c>
      <c r="C10">
        <v>6</v>
      </c>
      <c r="D10" s="165">
        <f>IF('RHUMBLINE SAILING'!B13="","",IF($D$2=2,'RHUMBLINE SAILING'!B13,TRUNC(A10)*100+(A10-TRUNC(A10))*60))</f>
        <v>730</v>
      </c>
      <c r="E10" s="166">
        <f>IF('RHUMBLINE SAILING'!C13="","",IF($D$2=2,'RHUMBLINE SAILING'!C13,TRUNC(B10)*100+(B10-TRUNC(B10))*60))</f>
        <v>-1400</v>
      </c>
      <c r="F10" s="42">
        <f t="shared" si="0"/>
        <v>7.5</v>
      </c>
      <c r="G10" s="33">
        <f t="shared" si="1"/>
        <v>-14</v>
      </c>
      <c r="H10" s="33">
        <f t="shared" si="2"/>
        <v>7.1166666666666654</v>
      </c>
      <c r="I10" s="33">
        <f t="shared" si="3"/>
        <v>-11.166666666666668</v>
      </c>
      <c r="J10" s="98">
        <f t="shared" si="4"/>
        <v>435.37973323282898</v>
      </c>
      <c r="K10" s="9">
        <f t="shared" si="5"/>
        <v>432.57540012969503</v>
      </c>
      <c r="L10" s="84">
        <f t="shared" si="6"/>
        <v>-57.152300736791688</v>
      </c>
      <c r="M10" s="98">
        <f t="shared" si="7"/>
        <v>302.99851241701271</v>
      </c>
      <c r="N10" s="9">
        <f t="shared" si="8"/>
        <v>303.01663691457554</v>
      </c>
      <c r="O10" s="9">
        <f t="shared" si="9"/>
        <v>303.01663691457554</v>
      </c>
      <c r="P10" s="9">
        <f t="shared" si="10"/>
        <v>302.84769926324191</v>
      </c>
      <c r="Q10" s="43">
        <f t="shared" si="11"/>
        <v>302.84769926320831</v>
      </c>
      <c r="R10" s="98">
        <f t="shared" si="12"/>
        <v>784.03684784091126</v>
      </c>
      <c r="S10" s="9">
        <f t="shared" si="13"/>
        <v>783.65514003748137</v>
      </c>
      <c r="T10" s="9">
        <f t="shared" si="14"/>
        <v>785.062015357306</v>
      </c>
      <c r="U10" s="9">
        <f t="shared" si="15"/>
        <v>787.23056434501007</v>
      </c>
      <c r="V10" s="84">
        <f t="shared" si="16"/>
        <v>783.65735174696317</v>
      </c>
      <c r="W10" s="98">
        <f t="shared" si="17"/>
        <v>303.01663691457554</v>
      </c>
      <c r="X10" s="103">
        <f t="shared" si="18"/>
        <v>303</v>
      </c>
      <c r="Y10" s="98">
        <f t="shared" si="19"/>
        <v>784.00550189763567</v>
      </c>
      <c r="Z10" s="9">
        <f t="shared" si="20"/>
        <v>784.00550189763567</v>
      </c>
      <c r="AA10" s="9">
        <f t="shared" si="21"/>
        <v>785.41300621282949</v>
      </c>
      <c r="AB10" s="9">
        <f t="shared" si="22"/>
        <v>784.00550189763567</v>
      </c>
      <c r="AC10" s="84">
        <f t="shared" si="23"/>
        <v>780.44692774698979</v>
      </c>
      <c r="AD10" s="169">
        <f t="shared" si="24"/>
        <v>785.062015357306</v>
      </c>
      <c r="AE10" s="112">
        <f t="shared" si="25"/>
        <v>730</v>
      </c>
      <c r="AF10" s="170">
        <f t="shared" si="26"/>
        <v>-1400</v>
      </c>
      <c r="AG10" s="146">
        <f t="shared" si="27"/>
        <v>303</v>
      </c>
      <c r="AH10" s="55">
        <f t="shared" si="28"/>
        <v>785.06</v>
      </c>
      <c r="AI10" s="43">
        <f t="shared" si="29"/>
        <v>3801.8699999999976</v>
      </c>
      <c r="AJ10" s="38"/>
      <c r="AR10">
        <v>5</v>
      </c>
      <c r="AS10">
        <f t="shared" si="30"/>
        <v>-15.246666666666666</v>
      </c>
      <c r="AT10">
        <f t="shared" si="31"/>
        <v>1.421666666666666</v>
      </c>
    </row>
    <row r="11" spans="1:46" ht="12.75" customHeight="1">
      <c r="A11" t="e">
        <f>IF(OR(RIGHT('RHUMBLINE SAILING'!B14,1)="S",RIGHT('RHUMBLINE SAILING'!B14,1)="s"),-1,1)*(VALUE(LEFT('RHUMBLINE SAILING'!B14,FIND("° ",'RHUMBLINE SAILING'!B14,1)-1))+VALUE(MID('RHUMBLINE SAILING'!B14,(FIND("° ",'RHUMBLINE SAILING'!B14,1)+2),6))/60)</f>
        <v>#VALUE!</v>
      </c>
      <c r="B11" t="e">
        <f>IF(OR(RIGHT('RHUMBLINE SAILING'!C14,1)="W",RIGHT('RHUMBLINE SAILING'!C14,1)="w"),-1,1)*(VALUE(LEFT('RHUMBLINE SAILING'!C14,FIND("° ",'RHUMBLINE SAILING'!C14,1)-1))+VALUE(MID('RHUMBLINE SAILING'!C14,(FIND("° ",'RHUMBLINE SAILING'!C14,1)+2),6))/60)</f>
        <v>#VALUE!</v>
      </c>
      <c r="C11">
        <v>7</v>
      </c>
      <c r="D11" s="165">
        <f>IF('RHUMBLINE SAILING'!B14="","",IF($D$2=2,'RHUMBLINE SAILING'!B14,TRUNC(A11)*100+(A11-TRUNC(A11))*60))</f>
        <v>1437</v>
      </c>
      <c r="E11" s="166">
        <f>IF('RHUMBLINE SAILING'!C14="","",IF($D$2=2,'RHUMBLINE SAILING'!C14,TRUNC(B11)*100+(B11-TRUNC(B11))*60))</f>
        <v>-2510</v>
      </c>
      <c r="F11" s="42">
        <f t="shared" si="0"/>
        <v>14.616666666666665</v>
      </c>
      <c r="G11" s="33">
        <f t="shared" si="1"/>
        <v>-25.166666666666668</v>
      </c>
      <c r="H11" s="33">
        <f t="shared" si="2"/>
        <v>3.3416666666666668</v>
      </c>
      <c r="I11" s="33">
        <f t="shared" si="3"/>
        <v>-4.8333333333333321</v>
      </c>
      <c r="J11" s="98">
        <f t="shared" si="4"/>
        <v>208.91788431953219</v>
      </c>
      <c r="K11" s="9">
        <f t="shared" si="5"/>
        <v>207.62903145036736</v>
      </c>
      <c r="L11" s="84">
        <f t="shared" si="6"/>
        <v>-54.398769129050116</v>
      </c>
      <c r="M11" s="98">
        <f t="shared" si="7"/>
        <v>305.76471347907346</v>
      </c>
      <c r="N11" s="9">
        <f t="shared" si="8"/>
        <v>305.76922320733053</v>
      </c>
      <c r="O11" s="9">
        <f t="shared" si="9"/>
        <v>305.76922320733053</v>
      </c>
      <c r="P11" s="9">
        <f t="shared" si="10"/>
        <v>305.60123087096309</v>
      </c>
      <c r="Q11" s="43">
        <f t="shared" si="11"/>
        <v>305.60123087094991</v>
      </c>
      <c r="R11" s="98">
        <f t="shared" si="12"/>
        <v>343.05284602534323</v>
      </c>
      <c r="S11" s="9">
        <f t="shared" si="13"/>
        <v>343.01536396473216</v>
      </c>
      <c r="T11" s="9">
        <f t="shared" si="14"/>
        <v>343.63117036378105</v>
      </c>
      <c r="U11" s="9">
        <f t="shared" si="15"/>
        <v>344.41860937288328</v>
      </c>
      <c r="V11" s="84">
        <f t="shared" si="16"/>
        <v>342.99730028781835</v>
      </c>
      <c r="W11" s="98">
        <f t="shared" si="17"/>
        <v>305.76922320733053</v>
      </c>
      <c r="X11" s="103">
        <f t="shared" si="18"/>
        <v>305.8</v>
      </c>
      <c r="Y11" s="98">
        <f t="shared" si="19"/>
        <v>342.75984156354912</v>
      </c>
      <c r="Z11" s="9">
        <f t="shared" si="20"/>
        <v>342.75984156354912</v>
      </c>
      <c r="AA11" s="9">
        <f t="shared" si="21"/>
        <v>343.37518922999806</v>
      </c>
      <c r="AB11" s="9">
        <f t="shared" si="22"/>
        <v>342.75984156354912</v>
      </c>
      <c r="AC11" s="84">
        <f t="shared" si="23"/>
        <v>341.34537770012867</v>
      </c>
      <c r="AD11" s="169">
        <f t="shared" si="24"/>
        <v>343.63117036378105</v>
      </c>
      <c r="AE11" s="112">
        <f t="shared" si="25"/>
        <v>1437</v>
      </c>
      <c r="AF11" s="170">
        <f t="shared" si="26"/>
        <v>-2510</v>
      </c>
      <c r="AG11" s="146">
        <f t="shared" si="27"/>
        <v>305.8</v>
      </c>
      <c r="AH11" s="55">
        <f t="shared" si="28"/>
        <v>343.63</v>
      </c>
      <c r="AI11" s="43">
        <f t="shared" si="29"/>
        <v>3016.8099999999977</v>
      </c>
      <c r="AJ11" s="38"/>
      <c r="AR11">
        <v>6</v>
      </c>
      <c r="AS11">
        <f t="shared" si="30"/>
        <v>-26.413333333333334</v>
      </c>
      <c r="AT11">
        <f t="shared" si="31"/>
        <v>8.5383333333333304</v>
      </c>
    </row>
    <row r="12" spans="1:46" ht="12.75" customHeight="1">
      <c r="A12" t="e">
        <f>IF(OR(RIGHT('RHUMBLINE SAILING'!B15,1)="S",RIGHT('RHUMBLINE SAILING'!B15,1)="s"),-1,1)*(VALUE(LEFT('RHUMBLINE SAILING'!B15,FIND("° ",'RHUMBLINE SAILING'!B15,1)-1))+VALUE(MID('RHUMBLINE SAILING'!B15,(FIND("° ",'RHUMBLINE SAILING'!B15,1)+2),6))/60)</f>
        <v>#VALUE!</v>
      </c>
      <c r="B12" t="e">
        <f>IF(OR(RIGHT('RHUMBLINE SAILING'!C15,1)="W",RIGHT('RHUMBLINE SAILING'!C15,1)="w"),-1,1)*(VALUE(LEFT('RHUMBLINE SAILING'!C15,FIND("° ",'RHUMBLINE SAILING'!C15,1)-1))+VALUE(MID('RHUMBLINE SAILING'!C15,(FIND("° ",'RHUMBLINE SAILING'!C15,1)+2),6))/60)</f>
        <v>#VALUE!</v>
      </c>
      <c r="C12">
        <v>8</v>
      </c>
      <c r="D12" s="165">
        <f>IF('RHUMBLINE SAILING'!B15="","",IF($D$2=2,'RHUMBLINE SAILING'!B15,TRUNC(A12)*100+(A12-TRUNC(A12))*60))</f>
        <v>1757.5</v>
      </c>
      <c r="E12" s="166">
        <f>IF('RHUMBLINE SAILING'!C15="","",IF($D$2=2,'RHUMBLINE SAILING'!C15,TRUNC(B12)*100+(B12-TRUNC(B12))*60))</f>
        <v>-3000</v>
      </c>
      <c r="F12" s="42">
        <f t="shared" si="0"/>
        <v>17.958333333333332</v>
      </c>
      <c r="G12" s="33">
        <f t="shared" si="1"/>
        <v>-30</v>
      </c>
      <c r="H12" s="33">
        <f t="shared" si="2"/>
        <v>3.206666666666667</v>
      </c>
      <c r="I12" s="33">
        <f t="shared" si="3"/>
        <v>-5</v>
      </c>
      <c r="J12" s="98">
        <f t="shared" si="4"/>
        <v>204.21861710344194</v>
      </c>
      <c r="K12" s="9">
        <f t="shared" si="5"/>
        <v>203.00420529857254</v>
      </c>
      <c r="L12" s="84">
        <f t="shared" si="6"/>
        <v>-55.914547075160392</v>
      </c>
      <c r="M12" s="98">
        <f t="shared" si="7"/>
        <v>304.23988575231999</v>
      </c>
      <c r="N12" s="9">
        <f t="shared" si="8"/>
        <v>304.24424332818165</v>
      </c>
      <c r="O12" s="9">
        <f t="shared" si="9"/>
        <v>304.24424332818165</v>
      </c>
      <c r="P12" s="9">
        <f t="shared" si="10"/>
        <v>304.08545292480858</v>
      </c>
      <c r="Q12" s="43">
        <f t="shared" si="11"/>
        <v>304.08545292483961</v>
      </c>
      <c r="R12" s="98">
        <f t="shared" si="12"/>
        <v>341.94778502664394</v>
      </c>
      <c r="S12" s="9">
        <f t="shared" si="13"/>
        <v>341.90958010754088</v>
      </c>
      <c r="T12" s="9">
        <f t="shared" si="14"/>
        <v>342.52340132211481</v>
      </c>
      <c r="U12" s="9">
        <f t="shared" si="15"/>
        <v>343.3085911168825</v>
      </c>
      <c r="V12" s="84">
        <f t="shared" si="16"/>
        <v>342.00744836611688</v>
      </c>
      <c r="W12" s="98">
        <f t="shared" si="17"/>
        <v>304.24424332818165</v>
      </c>
      <c r="X12" s="103">
        <f t="shared" si="18"/>
        <v>304.2</v>
      </c>
      <c r="Y12" s="98">
        <f t="shared" si="19"/>
        <v>342.29797140632655</v>
      </c>
      <c r="Z12" s="9">
        <f t="shared" si="20"/>
        <v>342.29797140632655</v>
      </c>
      <c r="AA12" s="9">
        <f t="shared" si="21"/>
        <v>342.91248988951367</v>
      </c>
      <c r="AB12" s="9">
        <f t="shared" si="22"/>
        <v>342.29797140632655</v>
      </c>
      <c r="AC12" s="84">
        <f t="shared" si="23"/>
        <v>341.00065891392887</v>
      </c>
      <c r="AD12" s="169">
        <f t="shared" si="24"/>
        <v>342.52340132211481</v>
      </c>
      <c r="AE12" s="112">
        <f t="shared" si="25"/>
        <v>1757.5</v>
      </c>
      <c r="AF12" s="170">
        <f t="shared" si="26"/>
        <v>-3000</v>
      </c>
      <c r="AG12" s="146">
        <f t="shared" si="27"/>
        <v>304.2</v>
      </c>
      <c r="AH12" s="55">
        <f t="shared" si="28"/>
        <v>342.52</v>
      </c>
      <c r="AI12" s="43">
        <f t="shared" si="29"/>
        <v>2673.1799999999976</v>
      </c>
      <c r="AJ12" s="38"/>
      <c r="AR12">
        <v>7</v>
      </c>
      <c r="AS12">
        <f t="shared" si="30"/>
        <v>-31.246666666666666</v>
      </c>
      <c r="AT12">
        <f t="shared" si="31"/>
        <v>11.879999999999997</v>
      </c>
    </row>
    <row r="13" spans="1:46" ht="12.75" customHeight="1">
      <c r="A13" t="e">
        <f>IF(OR(RIGHT('RHUMBLINE SAILING'!B16,1)="S",RIGHT('RHUMBLINE SAILING'!B16,1)="s"),-1,1)*(VALUE(LEFT('RHUMBLINE SAILING'!B16,FIND("° ",'RHUMBLINE SAILING'!B16,1)-1))+VALUE(MID('RHUMBLINE SAILING'!B16,(FIND("° ",'RHUMBLINE SAILING'!B16,1)+2),6))/60)</f>
        <v>#VALUE!</v>
      </c>
      <c r="B13" t="e">
        <f>IF(OR(RIGHT('RHUMBLINE SAILING'!C16,1)="W",RIGHT('RHUMBLINE SAILING'!C16,1)="w"),-1,1)*(VALUE(LEFT('RHUMBLINE SAILING'!C16,FIND("° ",'RHUMBLINE SAILING'!C16,1)-1))+VALUE(MID('RHUMBLINE SAILING'!C16,(FIND("° ",'RHUMBLINE SAILING'!C16,1)+2),6))/60)</f>
        <v>#VALUE!</v>
      </c>
      <c r="C13">
        <v>9</v>
      </c>
      <c r="D13" s="165">
        <f>IF('RHUMBLINE SAILING'!B16="","",IF($D$2=2,'RHUMBLINE SAILING'!B16,TRUNC(A13)*100+(A13-TRUNC(A13))*60))</f>
        <v>2109.9</v>
      </c>
      <c r="E13" s="166">
        <f>IF('RHUMBLINE SAILING'!C16="","",IF($D$2=2,'RHUMBLINE SAILING'!C16,TRUNC(B13)*100+(B13-TRUNC(B13))*60))</f>
        <v>-3500</v>
      </c>
      <c r="F13" s="42">
        <f t="shared" si="0"/>
        <v>21.164999999999999</v>
      </c>
      <c r="G13" s="33">
        <f t="shared" si="1"/>
        <v>-35</v>
      </c>
      <c r="H13" s="33">
        <f t="shared" si="2"/>
        <v>2.9333333333333371</v>
      </c>
      <c r="I13" s="33">
        <f t="shared" si="3"/>
        <v>-5</v>
      </c>
      <c r="J13" s="98">
        <f t="shared" si="4"/>
        <v>190.71110713951418</v>
      </c>
      <c r="K13" s="9">
        <f t="shared" si="5"/>
        <v>189.62266034107878</v>
      </c>
      <c r="L13" s="84">
        <f t="shared" si="6"/>
        <v>-57.70402104407966</v>
      </c>
      <c r="M13" s="98">
        <f t="shared" si="7"/>
        <v>302.4404525647675</v>
      </c>
      <c r="N13" s="9">
        <f t="shared" si="8"/>
        <v>302.44427091688613</v>
      </c>
      <c r="O13" s="9">
        <f t="shared" si="9"/>
        <v>302.44427091688613</v>
      </c>
      <c r="P13" s="9">
        <f t="shared" si="10"/>
        <v>302.29597895581043</v>
      </c>
      <c r="Q13" s="43">
        <f t="shared" si="11"/>
        <v>302.29597895592036</v>
      </c>
      <c r="R13" s="98">
        <f t="shared" si="12"/>
        <v>328.09941282925615</v>
      </c>
      <c r="S13" s="9">
        <f t="shared" si="13"/>
        <v>328.06501640772944</v>
      </c>
      <c r="T13" s="9">
        <f t="shared" si="14"/>
        <v>328.65398284373066</v>
      </c>
      <c r="U13" s="9">
        <f t="shared" si="15"/>
        <v>329.40725601321344</v>
      </c>
      <c r="V13" s="84">
        <f t="shared" si="16"/>
        <v>328.27803179772275</v>
      </c>
      <c r="W13" s="98">
        <f t="shared" si="17"/>
        <v>302.44427091688613</v>
      </c>
      <c r="X13" s="103">
        <f t="shared" si="18"/>
        <v>302.39999999999998</v>
      </c>
      <c r="Y13" s="98">
        <f t="shared" si="19"/>
        <v>328.46435013930068</v>
      </c>
      <c r="Z13" s="9">
        <f t="shared" si="20"/>
        <v>328.46435013930073</v>
      </c>
      <c r="AA13" s="9">
        <f t="shared" si="21"/>
        <v>329.05403348857493</v>
      </c>
      <c r="AB13" s="9">
        <f t="shared" si="22"/>
        <v>328.46435013930073</v>
      </c>
      <c r="AC13" s="84">
        <f t="shared" si="23"/>
        <v>327.33835825234479</v>
      </c>
      <c r="AD13" s="169">
        <f t="shared" si="24"/>
        <v>328.65398284373066</v>
      </c>
      <c r="AE13" s="112">
        <f t="shared" si="25"/>
        <v>2109.9</v>
      </c>
      <c r="AF13" s="170">
        <f t="shared" si="26"/>
        <v>-3500</v>
      </c>
      <c r="AG13" s="146">
        <f t="shared" si="27"/>
        <v>302.39999999999998</v>
      </c>
      <c r="AH13" s="55">
        <f t="shared" si="28"/>
        <v>328.65</v>
      </c>
      <c r="AI13" s="43">
        <f t="shared" si="29"/>
        <v>2330.6599999999976</v>
      </c>
      <c r="AJ13" s="38"/>
      <c r="AR13">
        <v>8</v>
      </c>
      <c r="AS13">
        <f t="shared" ref="AS13:AS24" si="32">IF(I12="","",AS12+I12)</f>
        <v>-36.24666666666667</v>
      </c>
      <c r="AT13">
        <f t="shared" si="31"/>
        <v>15.086666666666664</v>
      </c>
    </row>
    <row r="14" spans="1:46" ht="12.75" customHeight="1">
      <c r="A14" t="e">
        <f>IF(OR(RIGHT('RHUMBLINE SAILING'!B17,1)="S",RIGHT('RHUMBLINE SAILING'!B17,1)="s"),-1,1)*(VALUE(LEFT('RHUMBLINE SAILING'!B17,FIND("° ",'RHUMBLINE SAILING'!B17,1)-1))+VALUE(MID('RHUMBLINE SAILING'!B17,(FIND("° ",'RHUMBLINE SAILING'!B17,1)+2),6))/60)</f>
        <v>#VALUE!</v>
      </c>
      <c r="B14" t="e">
        <f>IF(OR(RIGHT('RHUMBLINE SAILING'!C17,1)="W",RIGHT('RHUMBLINE SAILING'!C17,1)="w"),-1,1)*(VALUE(LEFT('RHUMBLINE SAILING'!C17,FIND("° ",'RHUMBLINE SAILING'!C17,1)-1))+VALUE(MID('RHUMBLINE SAILING'!C17,(FIND("° ",'RHUMBLINE SAILING'!C17,1)+2),6))/60)</f>
        <v>#VALUE!</v>
      </c>
      <c r="C14">
        <v>10</v>
      </c>
      <c r="D14" s="165">
        <f>IF('RHUMBLINE SAILING'!B17="","",IF($D$2=2,'RHUMBLINE SAILING'!B17,TRUNC(A14)*100+(A14-TRUNC(A14))*60))</f>
        <v>2405.9</v>
      </c>
      <c r="E14" s="166">
        <f>IF('RHUMBLINE SAILING'!C17="","",IF($D$2=2,'RHUMBLINE SAILING'!C17,TRUNC(B14)*100+(B14-TRUNC(B14))*60))</f>
        <v>-4000</v>
      </c>
      <c r="F14" s="42">
        <f t="shared" si="0"/>
        <v>24.098333333333336</v>
      </c>
      <c r="G14" s="33">
        <f t="shared" si="1"/>
        <v>-40</v>
      </c>
      <c r="H14" s="33">
        <f t="shared" si="2"/>
        <v>2.6499999999999986</v>
      </c>
      <c r="I14" s="33">
        <f t="shared" si="3"/>
        <v>-5</v>
      </c>
      <c r="J14" s="98">
        <f t="shared" si="4"/>
        <v>176.07122374299735</v>
      </c>
      <c r="K14" s="9">
        <f t="shared" si="5"/>
        <v>175.10879177029901</v>
      </c>
      <c r="L14" s="84">
        <f t="shared" si="6"/>
        <v>-59.728062752181991</v>
      </c>
      <c r="M14" s="98">
        <f t="shared" si="7"/>
        <v>300.40560920470182</v>
      </c>
      <c r="N14" s="9">
        <f t="shared" si="8"/>
        <v>300.40884640802329</v>
      </c>
      <c r="O14" s="9">
        <f t="shared" si="9"/>
        <v>300.40884640802329</v>
      </c>
      <c r="P14" s="9">
        <f t="shared" si="10"/>
        <v>300.27193724759371</v>
      </c>
      <c r="Q14" s="43">
        <f t="shared" si="11"/>
        <v>300.27193724781802</v>
      </c>
      <c r="R14" s="98">
        <f t="shared" si="12"/>
        <v>314.15586257501002</v>
      </c>
      <c r="S14" s="9">
        <f t="shared" si="13"/>
        <v>314.12561903765612</v>
      </c>
      <c r="T14" s="9">
        <f t="shared" si="14"/>
        <v>314.68956044270783</v>
      </c>
      <c r="U14" s="9">
        <f t="shared" si="15"/>
        <v>315.41067828211533</v>
      </c>
      <c r="V14" s="84">
        <f t="shared" si="16"/>
        <v>314.4444380224532</v>
      </c>
      <c r="W14" s="98">
        <f t="shared" si="17"/>
        <v>300.40884640802329</v>
      </c>
      <c r="X14" s="103">
        <f t="shared" si="18"/>
        <v>300.39999999999998</v>
      </c>
      <c r="Y14" s="98">
        <f t="shared" si="19"/>
        <v>314.20828267484802</v>
      </c>
      <c r="Z14" s="9">
        <f t="shared" si="20"/>
        <v>314.20828267484802</v>
      </c>
      <c r="AA14" s="9">
        <f t="shared" si="21"/>
        <v>314.77237248373842</v>
      </c>
      <c r="AB14" s="9">
        <f t="shared" si="22"/>
        <v>314.20828267484802</v>
      </c>
      <c r="AC14" s="84">
        <f t="shared" si="23"/>
        <v>313.24572587863986</v>
      </c>
      <c r="AD14" s="169">
        <f t="shared" si="24"/>
        <v>314.68956044270783</v>
      </c>
      <c r="AE14" s="112">
        <f t="shared" si="25"/>
        <v>2405.9</v>
      </c>
      <c r="AF14" s="170">
        <f t="shared" si="26"/>
        <v>-4000</v>
      </c>
      <c r="AG14" s="146">
        <f t="shared" si="27"/>
        <v>300.39999999999998</v>
      </c>
      <c r="AH14" s="55">
        <f t="shared" si="28"/>
        <v>314.69</v>
      </c>
      <c r="AI14" s="43">
        <f t="shared" si="29"/>
        <v>2002.0099999999975</v>
      </c>
      <c r="AJ14" s="38"/>
      <c r="AR14">
        <v>9</v>
      </c>
      <c r="AS14">
        <f t="shared" si="32"/>
        <v>-41.24666666666667</v>
      </c>
      <c r="AT14">
        <f t="shared" ref="AT14:AT24" si="33">IF(H13="","",AT13+H13)</f>
        <v>18.020000000000003</v>
      </c>
    </row>
    <row r="15" spans="1:46" ht="12.75" customHeight="1">
      <c r="A15" t="e">
        <f>IF(OR(RIGHT('RHUMBLINE SAILING'!B18,1)="S",RIGHT('RHUMBLINE SAILING'!B18,1)="s"),-1,1)*(VALUE(LEFT('RHUMBLINE SAILING'!B18,FIND("° ",'RHUMBLINE SAILING'!B18,1)-1))+VALUE(MID('RHUMBLINE SAILING'!B18,(FIND("° ",'RHUMBLINE SAILING'!B18,1)+2),6))/60)</f>
        <v>#VALUE!</v>
      </c>
      <c r="B15" t="e">
        <f>IF(OR(RIGHT('RHUMBLINE SAILING'!C18,1)="W",RIGHT('RHUMBLINE SAILING'!C18,1)="w"),-1,1)*(VALUE(LEFT('RHUMBLINE SAILING'!C18,FIND("° ",'RHUMBLINE SAILING'!C18,1)-1))+VALUE(MID('RHUMBLINE SAILING'!C18,(FIND("° ",'RHUMBLINE SAILING'!C18,1)+2),6))/60)</f>
        <v>#VALUE!</v>
      </c>
      <c r="C15">
        <v>11</v>
      </c>
      <c r="D15" s="165">
        <f>IF('RHUMBLINE SAILING'!B18="","",IF($D$2=2,'RHUMBLINE SAILING'!B18,TRUNC(A15)*100+(A15-TRUNC(A15))*60))</f>
        <v>2644.9</v>
      </c>
      <c r="E15" s="166">
        <f>IF('RHUMBLINE SAILING'!C18="","",IF($D$2=2,'RHUMBLINE SAILING'!C18,TRUNC(B15)*100+(B15-TRUNC(B15))*60))</f>
        <v>-4500</v>
      </c>
      <c r="F15" s="42">
        <f t="shared" si="0"/>
        <v>26.748333333333335</v>
      </c>
      <c r="G15" s="33">
        <f t="shared" si="1"/>
        <v>-45</v>
      </c>
      <c r="H15" s="33">
        <f t="shared" si="2"/>
        <v>2.3633333333333262</v>
      </c>
      <c r="I15" s="33">
        <f t="shared" si="3"/>
        <v>-5</v>
      </c>
      <c r="J15" s="98">
        <f t="shared" si="4"/>
        <v>160.51207170422734</v>
      </c>
      <c r="K15" s="9">
        <f t="shared" si="5"/>
        <v>159.67220411519676</v>
      </c>
      <c r="L15" s="84">
        <f t="shared" si="6"/>
        <v>-61.976275627180257</v>
      </c>
      <c r="M15" s="98">
        <f t="shared" si="7"/>
        <v>298.14593409644499</v>
      </c>
      <c r="N15" s="9">
        <f t="shared" si="8"/>
        <v>298.14857365874946</v>
      </c>
      <c r="O15" s="9">
        <f t="shared" si="9"/>
        <v>298.14857365874946</v>
      </c>
      <c r="P15" s="9">
        <f t="shared" si="10"/>
        <v>298.02372437245543</v>
      </c>
      <c r="Q15" s="43">
        <f t="shared" si="11"/>
        <v>298.02372437281974</v>
      </c>
      <c r="R15" s="98">
        <f t="shared" si="12"/>
        <v>300.60273266851408</v>
      </c>
      <c r="S15" s="9">
        <f t="shared" si="13"/>
        <v>300.57684928089157</v>
      </c>
      <c r="T15" s="9">
        <f t="shared" si="14"/>
        <v>301.11646693840316</v>
      </c>
      <c r="U15" s="9">
        <f t="shared" si="15"/>
        <v>301.80671766198219</v>
      </c>
      <c r="V15" s="84">
        <f t="shared" si="16"/>
        <v>300.98876741307498</v>
      </c>
      <c r="W15" s="98">
        <f t="shared" si="17"/>
        <v>298.14857365874946</v>
      </c>
      <c r="X15" s="103">
        <f t="shared" si="18"/>
        <v>298.10000000000002</v>
      </c>
      <c r="Y15" s="98">
        <f t="shared" si="19"/>
        <v>301.0539768824753</v>
      </c>
      <c r="Z15" s="9">
        <f t="shared" si="20"/>
        <v>301.05397688247535</v>
      </c>
      <c r="AA15" s="9">
        <f t="shared" si="21"/>
        <v>301.59445111453459</v>
      </c>
      <c r="AB15" s="9">
        <f t="shared" si="22"/>
        <v>301.05397688247535</v>
      </c>
      <c r="AC15" s="84">
        <f t="shared" si="23"/>
        <v>300.23806669945947</v>
      </c>
      <c r="AD15" s="169">
        <f t="shared" si="24"/>
        <v>301.11646693840316</v>
      </c>
      <c r="AE15" s="112">
        <f t="shared" si="25"/>
        <v>2644.9</v>
      </c>
      <c r="AF15" s="170">
        <f t="shared" si="26"/>
        <v>-4500</v>
      </c>
      <c r="AG15" s="146">
        <f t="shared" si="27"/>
        <v>298.10000000000002</v>
      </c>
      <c r="AH15" s="55">
        <f t="shared" si="28"/>
        <v>301.12</v>
      </c>
      <c r="AI15" s="43">
        <f t="shared" si="29"/>
        <v>1687.3199999999974</v>
      </c>
      <c r="AJ15" s="38"/>
      <c r="AR15">
        <v>10</v>
      </c>
      <c r="AS15">
        <f t="shared" si="32"/>
        <v>-46.24666666666667</v>
      </c>
      <c r="AT15">
        <f t="shared" si="33"/>
        <v>20.67</v>
      </c>
    </row>
    <row r="16" spans="1:46" ht="12.75" customHeight="1">
      <c r="A16" t="e">
        <f>IF(OR(RIGHT('RHUMBLINE SAILING'!B19,1)="S",RIGHT('RHUMBLINE SAILING'!B19,1)="s"),-1,1)*(VALUE(LEFT('RHUMBLINE SAILING'!B19,FIND("° ",'RHUMBLINE SAILING'!B19,1)-1))+VALUE(MID('RHUMBLINE SAILING'!B19,(FIND("° ",'RHUMBLINE SAILING'!B19,1)+2),6))/60)</f>
        <v>#VALUE!</v>
      </c>
      <c r="B16" t="e">
        <f>IF(OR(RIGHT('RHUMBLINE SAILING'!C19,1)="W",RIGHT('RHUMBLINE SAILING'!C19,1)="w"),-1,1)*(VALUE(LEFT('RHUMBLINE SAILING'!C19,FIND("° ",'RHUMBLINE SAILING'!C19,1)-1))+VALUE(MID('RHUMBLINE SAILING'!C19,(FIND("° ",'RHUMBLINE SAILING'!C19,1)+2),6))/60)</f>
        <v>#VALUE!</v>
      </c>
      <c r="C16">
        <v>12</v>
      </c>
      <c r="D16" s="165">
        <f>IF('RHUMBLINE SAILING'!B19="","",IF($D$2=2,'RHUMBLINE SAILING'!B19,TRUNC(A16)*100+(A16-TRUNC(A16))*60))</f>
        <v>2906.7</v>
      </c>
      <c r="E16" s="166">
        <f>IF('RHUMBLINE SAILING'!C19="","",IF($D$2=2,'RHUMBLINE SAILING'!C19,TRUNC(B16)*100+(B16-TRUNC(B16))*60))</f>
        <v>-5000</v>
      </c>
      <c r="F16" s="42">
        <f t="shared" si="0"/>
        <v>29.111666666666661</v>
      </c>
      <c r="G16" s="33">
        <f t="shared" si="1"/>
        <v>-50</v>
      </c>
      <c r="H16" s="33">
        <f t="shared" si="2"/>
        <v>2.0833333333333357</v>
      </c>
      <c r="I16" s="33">
        <f t="shared" si="3"/>
        <v>-5</v>
      </c>
      <c r="J16" s="98">
        <f t="shared" si="4"/>
        <v>144.57478592198942</v>
      </c>
      <c r="K16" s="9">
        <f t="shared" si="5"/>
        <v>143.85003595438275</v>
      </c>
      <c r="L16" s="84">
        <f t="shared" si="6"/>
        <v>-64.382276528745564</v>
      </c>
      <c r="M16" s="98">
        <f t="shared" si="7"/>
        <v>295.72809113416406</v>
      </c>
      <c r="N16" s="9">
        <f t="shared" si="8"/>
        <v>295.73015890131722</v>
      </c>
      <c r="O16" s="9">
        <f t="shared" si="9"/>
        <v>295.73015890131722</v>
      </c>
      <c r="P16" s="9">
        <f t="shared" si="10"/>
        <v>295.61772347074196</v>
      </c>
      <c r="Q16" s="43">
        <f t="shared" si="11"/>
        <v>295.61772347125441</v>
      </c>
      <c r="R16" s="98">
        <f t="shared" si="12"/>
        <v>287.95154416076548</v>
      </c>
      <c r="S16" s="9">
        <f t="shared" si="13"/>
        <v>287.92998008321814</v>
      </c>
      <c r="T16" s="9">
        <f t="shared" si="14"/>
        <v>288.44689315137884</v>
      </c>
      <c r="U16" s="9">
        <f t="shared" si="15"/>
        <v>289.10778691545278</v>
      </c>
      <c r="V16" s="84">
        <f t="shared" si="16"/>
        <v>288.42011067043438</v>
      </c>
      <c r="W16" s="98">
        <f t="shared" si="17"/>
        <v>295.73015890131722</v>
      </c>
      <c r="X16" s="103">
        <f t="shared" si="18"/>
        <v>295.7</v>
      </c>
      <c r="Y16" s="98">
        <f t="shared" si="19"/>
        <v>288.24485510061089</v>
      </c>
      <c r="Z16" s="9">
        <f t="shared" si="20"/>
        <v>288.24485510061089</v>
      </c>
      <c r="AA16" s="9">
        <f t="shared" si="21"/>
        <v>288.7623334555517</v>
      </c>
      <c r="AB16" s="9">
        <f t="shared" si="22"/>
        <v>288.24485510061089</v>
      </c>
      <c r="AC16" s="84">
        <f t="shared" si="23"/>
        <v>287.55923144389243</v>
      </c>
      <c r="AD16" s="169">
        <f t="shared" si="24"/>
        <v>288.44689315137884</v>
      </c>
      <c r="AE16" s="112">
        <f t="shared" si="25"/>
        <v>2906.7</v>
      </c>
      <c r="AF16" s="170">
        <f t="shared" si="26"/>
        <v>-5000</v>
      </c>
      <c r="AG16" s="146">
        <f t="shared" si="27"/>
        <v>295.7</v>
      </c>
      <c r="AH16" s="55">
        <f t="shared" si="28"/>
        <v>288.45</v>
      </c>
      <c r="AI16" s="43">
        <f t="shared" si="29"/>
        <v>1386.1999999999975</v>
      </c>
      <c r="AJ16" s="38"/>
      <c r="AR16">
        <v>11</v>
      </c>
      <c r="AS16">
        <f t="shared" si="32"/>
        <v>-51.24666666666667</v>
      </c>
      <c r="AT16">
        <f t="shared" si="33"/>
        <v>23.033333333333328</v>
      </c>
    </row>
    <row r="17" spans="1:46" ht="12.75" customHeight="1">
      <c r="A17" t="e">
        <f>IF(OR(RIGHT('RHUMBLINE SAILING'!B20,1)="S",RIGHT('RHUMBLINE SAILING'!B20,1)="s"),-1,1)*(VALUE(LEFT('RHUMBLINE SAILING'!B20,FIND("° ",'RHUMBLINE SAILING'!B20,1)-1))+VALUE(MID('RHUMBLINE SAILING'!B20,(FIND("° ",'RHUMBLINE SAILING'!B20,1)+2),6))/60)</f>
        <v>#VALUE!</v>
      </c>
      <c r="B17" t="e">
        <f>IF(OR(RIGHT('RHUMBLINE SAILING'!C20,1)="W",RIGHT('RHUMBLINE SAILING'!C20,1)="w"),-1,1)*(VALUE(LEFT('RHUMBLINE SAILING'!C20,FIND("° ",'RHUMBLINE SAILING'!C20,1)-1))+VALUE(MID('RHUMBLINE SAILING'!C20,(FIND("° ",'RHUMBLINE SAILING'!C20,1)+2),6))/60)</f>
        <v>#VALUE!</v>
      </c>
      <c r="C17">
        <v>13</v>
      </c>
      <c r="D17" s="165">
        <f>IF('RHUMBLINE SAILING'!B20="","",IF($D$2=2,'RHUMBLINE SAILING'!B20,TRUNC(A17)*100+(A17-TRUNC(A17))*60))</f>
        <v>3111.7</v>
      </c>
      <c r="E17" s="166">
        <f>IF('RHUMBLINE SAILING'!C20="","",IF($D$2=2,'RHUMBLINE SAILING'!C20,TRUNC(B17)*100+(B17-TRUNC(B17))*60))</f>
        <v>-5500</v>
      </c>
      <c r="F17" s="42">
        <f t="shared" si="0"/>
        <v>31.194999999999997</v>
      </c>
      <c r="G17" s="33">
        <f t="shared" si="1"/>
        <v>-55</v>
      </c>
      <c r="H17" s="33">
        <f t="shared" si="2"/>
        <v>1.8100000000000058</v>
      </c>
      <c r="I17" s="33">
        <f t="shared" si="3"/>
        <v>-5</v>
      </c>
      <c r="J17" s="98">
        <f t="shared" si="4"/>
        <v>128.20831109395527</v>
      </c>
      <c r="K17" s="9">
        <f t="shared" si="5"/>
        <v>127.59130450266071</v>
      </c>
      <c r="L17" s="84">
        <f t="shared" si="6"/>
        <v>-66.959739571676906</v>
      </c>
      <c r="M17" s="98">
        <f t="shared" si="7"/>
        <v>293.13843717001765</v>
      </c>
      <c r="N17" s="9">
        <f t="shared" si="8"/>
        <v>293.13997577476755</v>
      </c>
      <c r="O17" s="9">
        <f t="shared" si="9"/>
        <v>293.13997577476755</v>
      </c>
      <c r="P17" s="9">
        <f t="shared" si="10"/>
        <v>293.04026042767691</v>
      </c>
      <c r="Q17" s="43">
        <f t="shared" si="11"/>
        <v>293.04026042832311</v>
      </c>
      <c r="R17" s="98">
        <f t="shared" si="12"/>
        <v>276.36815929436324</v>
      </c>
      <c r="S17" s="9">
        <f t="shared" si="13"/>
        <v>276.3507932858372</v>
      </c>
      <c r="T17" s="9">
        <f t="shared" si="14"/>
        <v>276.84691854658547</v>
      </c>
      <c r="U17" s="9">
        <f t="shared" si="15"/>
        <v>277.48121186738314</v>
      </c>
      <c r="V17" s="84">
        <f t="shared" si="16"/>
        <v>276.90519729154249</v>
      </c>
      <c r="W17" s="98">
        <f t="shared" si="17"/>
        <v>293.13997577476755</v>
      </c>
      <c r="X17" s="103">
        <f t="shared" si="18"/>
        <v>293.10000000000002</v>
      </c>
      <c r="Y17" s="98">
        <f t="shared" si="19"/>
        <v>276.80276834408079</v>
      </c>
      <c r="Z17" s="9">
        <f t="shared" si="20"/>
        <v>276.80276834408073</v>
      </c>
      <c r="AA17" s="9">
        <f t="shared" si="21"/>
        <v>277.29970502368167</v>
      </c>
      <c r="AB17" s="9">
        <f t="shared" si="22"/>
        <v>276.80276834408073</v>
      </c>
      <c r="AC17" s="84">
        <f t="shared" si="23"/>
        <v>276.22816213527233</v>
      </c>
      <c r="AD17" s="169">
        <f t="shared" si="24"/>
        <v>276.84691854658547</v>
      </c>
      <c r="AE17" s="112">
        <f t="shared" si="25"/>
        <v>3111.7</v>
      </c>
      <c r="AF17" s="170">
        <f t="shared" si="26"/>
        <v>-5500</v>
      </c>
      <c r="AG17" s="146">
        <f t="shared" si="27"/>
        <v>293.10000000000002</v>
      </c>
      <c r="AH17" s="55">
        <f t="shared" si="28"/>
        <v>276.85000000000002</v>
      </c>
      <c r="AI17" s="43">
        <f t="shared" si="29"/>
        <v>1097.7499999999975</v>
      </c>
      <c r="AJ17" s="38"/>
      <c r="AR17">
        <v>12</v>
      </c>
      <c r="AS17">
        <f t="shared" si="32"/>
        <v>-56.24666666666667</v>
      </c>
      <c r="AT17">
        <f t="shared" si="33"/>
        <v>25.116666666666664</v>
      </c>
    </row>
    <row r="18" spans="1:46" ht="12.75" customHeight="1">
      <c r="A18" t="e">
        <f>IF(OR(RIGHT('RHUMBLINE SAILING'!B21,1)="S",RIGHT('RHUMBLINE SAILING'!B21,1)="s"),-1,1)*(VALUE(LEFT('RHUMBLINE SAILING'!B21,FIND("° ",'RHUMBLINE SAILING'!B21,1)-1))+VALUE(MID('RHUMBLINE SAILING'!B21,(FIND("° ",'RHUMBLINE SAILING'!B21,1)+2),6))/60)</f>
        <v>#VALUE!</v>
      </c>
      <c r="B18" t="e">
        <f>IF(OR(RIGHT('RHUMBLINE SAILING'!C21,1)="W",RIGHT('RHUMBLINE SAILING'!C21,1)="w"),-1,1)*(VALUE(LEFT('RHUMBLINE SAILING'!C21,FIND("° ",'RHUMBLINE SAILING'!C21,1)-1))+VALUE(MID('RHUMBLINE SAILING'!C21,(FIND("° ",'RHUMBLINE SAILING'!C21,1)+2),6))/60)</f>
        <v>#VALUE!</v>
      </c>
      <c r="C18">
        <v>14</v>
      </c>
      <c r="D18" s="165">
        <f>IF('RHUMBLINE SAILING'!B21="","",IF($D$2=2,'RHUMBLINE SAILING'!B21,TRUNC(A18)*100+(A18-TRUNC(A18))*60))</f>
        <v>3300.3</v>
      </c>
      <c r="E18" s="166">
        <f>IF('RHUMBLINE SAILING'!C21="","",IF($D$2=2,'RHUMBLINE SAILING'!C21,TRUNC(B18)*100+(B18-TRUNC(B18))*60))</f>
        <v>-6000</v>
      </c>
      <c r="F18" s="42">
        <f t="shared" si="0"/>
        <v>33.005000000000003</v>
      </c>
      <c r="G18" s="33">
        <f t="shared" si="1"/>
        <v>-60</v>
      </c>
      <c r="H18" s="33">
        <f t="shared" si="2"/>
        <v>1.5466666666666598</v>
      </c>
      <c r="I18" s="33">
        <f t="shared" si="3"/>
        <v>-5</v>
      </c>
      <c r="J18" s="98">
        <f t="shared" si="4"/>
        <v>111.65293897927927</v>
      </c>
      <c r="K18" s="9">
        <f t="shared" si="5"/>
        <v>111.13551378538402</v>
      </c>
      <c r="L18" s="84">
        <f t="shared" si="6"/>
        <v>-69.672764902185079</v>
      </c>
      <c r="M18" s="98">
        <f t="shared" si="7"/>
        <v>290.41300443923973</v>
      </c>
      <c r="N18" s="9">
        <f t="shared" si="8"/>
        <v>290.414082066471</v>
      </c>
      <c r="O18" s="9">
        <f t="shared" si="9"/>
        <v>290.414082066471</v>
      </c>
      <c r="P18" s="9">
        <f t="shared" si="10"/>
        <v>290.32723509707057</v>
      </c>
      <c r="Q18" s="43">
        <f t="shared" si="11"/>
        <v>290.32723509781493</v>
      </c>
      <c r="R18" s="98">
        <f t="shared" si="12"/>
        <v>266.0666607346385</v>
      </c>
      <c r="S18" s="9">
        <f t="shared" si="13"/>
        <v>266.0532148618081</v>
      </c>
      <c r="T18" s="9">
        <f t="shared" si="14"/>
        <v>266.53085315271647</v>
      </c>
      <c r="U18" s="9">
        <f t="shared" si="15"/>
        <v>267.14151033886725</v>
      </c>
      <c r="V18" s="84">
        <f t="shared" si="16"/>
        <v>266.65887982903433</v>
      </c>
      <c r="W18" s="98">
        <f t="shared" si="17"/>
        <v>290.414082066471</v>
      </c>
      <c r="X18" s="103">
        <f t="shared" si="18"/>
        <v>290.39999999999998</v>
      </c>
      <c r="Y18" s="98">
        <f t="shared" si="19"/>
        <v>266.22903561260915</v>
      </c>
      <c r="Z18" s="9">
        <f t="shared" si="20"/>
        <v>266.2290356126091</v>
      </c>
      <c r="AA18" s="9">
        <f t="shared" si="21"/>
        <v>266.70698954985528</v>
      </c>
      <c r="AB18" s="9">
        <f t="shared" si="22"/>
        <v>266.2290356126091</v>
      </c>
      <c r="AC18" s="84">
        <f t="shared" si="23"/>
        <v>265.74805363216956</v>
      </c>
      <c r="AD18" s="169">
        <f t="shared" si="24"/>
        <v>266.53085315271647</v>
      </c>
      <c r="AE18" s="112">
        <f t="shared" si="25"/>
        <v>3300.3</v>
      </c>
      <c r="AF18" s="170">
        <f t="shared" si="26"/>
        <v>-6000</v>
      </c>
      <c r="AG18" s="146">
        <f t="shared" si="27"/>
        <v>290.39999999999998</v>
      </c>
      <c r="AH18" s="55">
        <f t="shared" si="28"/>
        <v>266.52999999999997</v>
      </c>
      <c r="AI18" s="43">
        <f t="shared" si="29"/>
        <v>820.89999999999748</v>
      </c>
      <c r="AJ18" s="38"/>
      <c r="AR18">
        <v>13</v>
      </c>
      <c r="AS18">
        <f t="shared" si="32"/>
        <v>-61.24666666666667</v>
      </c>
      <c r="AT18">
        <f t="shared" si="33"/>
        <v>26.926666666666669</v>
      </c>
    </row>
    <row r="19" spans="1:46" ht="12.75" customHeight="1">
      <c r="A19" t="e">
        <f>IF(OR(RIGHT('RHUMBLINE SAILING'!B22,1)="S",RIGHT('RHUMBLINE SAILING'!B22,1)="s"),-1,1)*(VALUE(LEFT('RHUMBLINE SAILING'!B22,FIND("° ",'RHUMBLINE SAILING'!B22,1)-1))+VALUE(MID('RHUMBLINE SAILING'!B22,(FIND("° ",'RHUMBLINE SAILING'!B22,1)+2),6))/60)</f>
        <v>#VALUE!</v>
      </c>
      <c r="B19" t="e">
        <f>IF(OR(RIGHT('RHUMBLINE SAILING'!C22,1)="W",RIGHT('RHUMBLINE SAILING'!C22,1)="w"),-1,1)*(VALUE(LEFT('RHUMBLINE SAILING'!C22,FIND("° ",'RHUMBLINE SAILING'!C22,1)-1))+VALUE(MID('RHUMBLINE SAILING'!C22,(FIND("° ",'RHUMBLINE SAILING'!C22,1)+2),6))/60)</f>
        <v>#VALUE!</v>
      </c>
      <c r="C19">
        <v>15</v>
      </c>
      <c r="D19" s="165">
        <f>IF('RHUMBLINE SAILING'!B22="","",IF($D$2=2,'RHUMBLINE SAILING'!B22,TRUNC(A19)*100+(A19-TRUNC(A19))*60))</f>
        <v>3433.1</v>
      </c>
      <c r="E19" s="166">
        <f>IF('RHUMBLINE SAILING'!C22="","",IF($D$2=2,'RHUMBLINE SAILING'!C22,TRUNC(B19)*100+(B19-TRUNC(B19))*60))</f>
        <v>-6500</v>
      </c>
      <c r="F19" s="42">
        <f t="shared" si="0"/>
        <v>34.551666666666662</v>
      </c>
      <c r="G19" s="33">
        <f t="shared" si="1"/>
        <v>-65</v>
      </c>
      <c r="H19" s="33">
        <f t="shared" si="2"/>
        <v>1.2950000000000088</v>
      </c>
      <c r="I19" s="33">
        <f t="shared" si="3"/>
        <v>-5</v>
      </c>
      <c r="J19" s="98">
        <f t="shared" si="4"/>
        <v>95.090237991687701</v>
      </c>
      <c r="K19" s="9">
        <f t="shared" si="5"/>
        <v>94.664254550359914</v>
      </c>
      <c r="L19" s="84">
        <f t="shared" si="6"/>
        <v>-72.487038586472309</v>
      </c>
      <c r="M19" s="98">
        <f t="shared" si="7"/>
        <v>287.5862200264786</v>
      </c>
      <c r="N19" s="9">
        <f t="shared" si="8"/>
        <v>287.58692090928605</v>
      </c>
      <c r="O19" s="9">
        <f t="shared" si="9"/>
        <v>287.58692090928605</v>
      </c>
      <c r="P19" s="9">
        <f t="shared" si="10"/>
        <v>287.51296141273644</v>
      </c>
      <c r="Q19" s="43">
        <f t="shared" si="11"/>
        <v>287.51296141352771</v>
      </c>
      <c r="R19" s="98">
        <f t="shared" si="12"/>
        <v>257.16501274997967</v>
      </c>
      <c r="S19" s="9">
        <f t="shared" si="13"/>
        <v>257.15508797156144</v>
      </c>
      <c r="T19" s="9">
        <f t="shared" si="14"/>
        <v>257.61675169090773</v>
      </c>
      <c r="U19" s="9">
        <f t="shared" si="15"/>
        <v>258.20683935661305</v>
      </c>
      <c r="V19" s="84">
        <f t="shared" si="16"/>
        <v>257.80054725477464</v>
      </c>
      <c r="W19" s="98">
        <f t="shared" si="17"/>
        <v>287.58692090928605</v>
      </c>
      <c r="X19" s="103">
        <f t="shared" si="18"/>
        <v>287.60000000000002</v>
      </c>
      <c r="Y19" s="98">
        <f t="shared" si="19"/>
        <v>256.97003033985533</v>
      </c>
      <c r="Z19" s="9">
        <f t="shared" si="20"/>
        <v>256.97003033985533</v>
      </c>
      <c r="AA19" s="9">
        <f t="shared" si="21"/>
        <v>257.43136183013615</v>
      </c>
      <c r="AB19" s="9">
        <f t="shared" si="22"/>
        <v>256.97003033985533</v>
      </c>
      <c r="AC19" s="84">
        <f t="shared" si="23"/>
        <v>256.5656843856691</v>
      </c>
      <c r="AD19" s="169">
        <f t="shared" si="24"/>
        <v>257.61675169090773</v>
      </c>
      <c r="AE19" s="112">
        <f t="shared" si="25"/>
        <v>3433.1</v>
      </c>
      <c r="AF19" s="170">
        <f t="shared" si="26"/>
        <v>-6500</v>
      </c>
      <c r="AG19" s="146">
        <f t="shared" si="27"/>
        <v>287.60000000000002</v>
      </c>
      <c r="AH19" s="55">
        <f t="shared" si="28"/>
        <v>257.62</v>
      </c>
      <c r="AI19" s="43">
        <f t="shared" si="29"/>
        <v>554.3699999999975</v>
      </c>
      <c r="AJ19" s="38"/>
      <c r="AR19">
        <v>14</v>
      </c>
      <c r="AS19">
        <f t="shared" si="32"/>
        <v>-66.24666666666667</v>
      </c>
      <c r="AT19">
        <f t="shared" si="33"/>
        <v>28.473333333333329</v>
      </c>
    </row>
    <row r="20" spans="1:46" ht="12.75" customHeight="1">
      <c r="A20" t="e">
        <f>IF(OR(RIGHT('RHUMBLINE SAILING'!B23,1)="S",RIGHT('RHUMBLINE SAILING'!B23,1)="s"),-1,1)*(VALUE(LEFT('RHUMBLINE SAILING'!B23,FIND("° ",'RHUMBLINE SAILING'!B23,1)-1))+VALUE(MID('RHUMBLINE SAILING'!B23,(FIND("° ",'RHUMBLINE SAILING'!B23,1)+2),6))/60)</f>
        <v>#VALUE!</v>
      </c>
      <c r="B20" t="e">
        <f>IF(OR(RIGHT('RHUMBLINE SAILING'!C23,1)="W",RIGHT('RHUMBLINE SAILING'!C23,1)="w"),-1,1)*(VALUE(LEFT('RHUMBLINE SAILING'!C23,FIND("° ",'RHUMBLINE SAILING'!C23,1)-1))+VALUE(MID('RHUMBLINE SAILING'!C23,(FIND("° ",'RHUMBLINE SAILING'!C23,1)+2),6))/60)</f>
        <v>#VALUE!</v>
      </c>
      <c r="C20">
        <v>16</v>
      </c>
      <c r="D20" s="165">
        <f>IF('RHUMBLINE SAILING'!B23="","",IF($D$2=2,'RHUMBLINE SAILING'!B23,TRUNC(A20)*100+(A20-TRUNC(A20))*60))</f>
        <v>3550.8</v>
      </c>
      <c r="E20" s="166">
        <f>IF('RHUMBLINE SAILING'!C23="","",IF($D$2=2,'RHUMBLINE SAILING'!C23,TRUNC(B20)*100+(B20-TRUNC(B20))*60))</f>
        <v>-7000</v>
      </c>
      <c r="F20" s="42">
        <f t="shared" si="0"/>
        <v>35.846666666666671</v>
      </c>
      <c r="G20" s="33">
        <f t="shared" si="1"/>
        <v>-70</v>
      </c>
      <c r="H20" s="33">
        <f t="shared" si="2"/>
        <v>1.0533333333333275</v>
      </c>
      <c r="I20" s="33">
        <f t="shared" si="3"/>
        <v>-5</v>
      </c>
      <c r="J20" s="98">
        <f t="shared" si="4"/>
        <v>78.495055252614165</v>
      </c>
      <c r="K20" s="9">
        <f t="shared" si="5"/>
        <v>78.153600968557299</v>
      </c>
      <c r="L20" s="84">
        <f t="shared" si="6"/>
        <v>-75.398309124908963</v>
      </c>
      <c r="M20" s="98">
        <f t="shared" si="7"/>
        <v>284.66233037541411</v>
      </c>
      <c r="N20" s="9">
        <f t="shared" si="8"/>
        <v>284.66274236089794</v>
      </c>
      <c r="O20" s="9">
        <f t="shared" si="9"/>
        <v>284.66274236089794</v>
      </c>
      <c r="P20" s="9">
        <f t="shared" si="10"/>
        <v>284.60169087431359</v>
      </c>
      <c r="Q20" s="43">
        <f t="shared" si="11"/>
        <v>284.60169087509104</v>
      </c>
      <c r="R20" s="98">
        <f t="shared" si="12"/>
        <v>249.68201995274777</v>
      </c>
      <c r="S20" s="9">
        <f t="shared" si="13"/>
        <v>249.67515834457095</v>
      </c>
      <c r="T20" s="9">
        <f t="shared" si="14"/>
        <v>250.12339354434454</v>
      </c>
      <c r="U20" s="9">
        <f t="shared" si="15"/>
        <v>250.69624086693318</v>
      </c>
      <c r="V20" s="84">
        <f t="shared" si="16"/>
        <v>250.35086224967941</v>
      </c>
      <c r="W20" s="98">
        <f t="shared" si="17"/>
        <v>284.66274236089794</v>
      </c>
      <c r="X20" s="103">
        <f t="shared" si="18"/>
        <v>284.7</v>
      </c>
      <c r="Y20" s="98">
        <f t="shared" si="19"/>
        <v>249.05624177956844</v>
      </c>
      <c r="Z20" s="9">
        <f t="shared" si="20"/>
        <v>249.05624177956844</v>
      </c>
      <c r="AA20" s="9">
        <f t="shared" si="21"/>
        <v>249.50336585482327</v>
      </c>
      <c r="AB20" s="9">
        <f t="shared" si="22"/>
        <v>249.05624177956844</v>
      </c>
      <c r="AC20" s="84">
        <f t="shared" si="23"/>
        <v>248.71312256541816</v>
      </c>
      <c r="AD20" s="169">
        <f t="shared" si="24"/>
        <v>250.12339354434454</v>
      </c>
      <c r="AE20" s="112">
        <f t="shared" si="25"/>
        <v>3550.8</v>
      </c>
      <c r="AF20" s="170">
        <f t="shared" si="26"/>
        <v>-7000</v>
      </c>
      <c r="AG20" s="146">
        <f t="shared" si="27"/>
        <v>284.7</v>
      </c>
      <c r="AH20" s="55">
        <f t="shared" si="28"/>
        <v>250.12</v>
      </c>
      <c r="AI20" s="43">
        <f t="shared" si="29"/>
        <v>296.7499999999975</v>
      </c>
      <c r="AJ20" s="38"/>
      <c r="AR20">
        <v>15</v>
      </c>
      <c r="AS20">
        <f t="shared" si="32"/>
        <v>-71.24666666666667</v>
      </c>
      <c r="AT20">
        <f t="shared" si="33"/>
        <v>29.768333333333338</v>
      </c>
    </row>
    <row r="21" spans="1:46" ht="12.75" customHeight="1">
      <c r="A21" t="e">
        <f>IF(OR(RIGHT('RHUMBLINE SAILING'!B24,1)="S",RIGHT('RHUMBLINE SAILING'!B24,1)="s"),-1,1)*(VALUE(LEFT('RHUMBLINE SAILING'!B24,FIND("° ",'RHUMBLINE SAILING'!B24,1)-1))+VALUE(MID('RHUMBLINE SAILING'!B24,(FIND("° ",'RHUMBLINE SAILING'!B24,1)+2),6))/60)</f>
        <v>#VALUE!</v>
      </c>
      <c r="B21" t="e">
        <f>IF(OR(RIGHT('RHUMBLINE SAILING'!C24,1)="W",RIGHT('RHUMBLINE SAILING'!C24,1)="w"),-1,1)*(VALUE(LEFT('RHUMBLINE SAILING'!C24,FIND("° ",'RHUMBLINE SAILING'!C24,1)-1))+VALUE(MID('RHUMBLINE SAILING'!C24,(FIND("° ",'RHUMBLINE SAILING'!C24,1)+2),6))/60)</f>
        <v>#VALUE!</v>
      </c>
      <c r="C21">
        <v>17</v>
      </c>
      <c r="D21" s="165">
        <f>IF('RHUMBLINE SAILING'!B24="","",IF($D$2=2,'RHUMBLINE SAILING'!B24,TRUNC(A21)*100+(A21-TRUNC(A21))*60))</f>
        <v>3654</v>
      </c>
      <c r="E21" s="166">
        <f>IF('RHUMBLINE SAILING'!C24="","",IF($D$2=2,'RHUMBLINE SAILING'!C24,TRUNC(B21)*100+(B21-TRUNC(B21))*60))</f>
        <v>-7500</v>
      </c>
      <c r="F21" s="42">
        <f t="shared" si="0"/>
        <v>36.9</v>
      </c>
      <c r="G21" s="33">
        <f t="shared" si="1"/>
        <v>-75</v>
      </c>
      <c r="H21" s="33">
        <f t="shared" si="2"/>
        <v>6.1666666666667425E-2</v>
      </c>
      <c r="I21" s="33">
        <f t="shared" si="3"/>
        <v>-0.33333333333334281</v>
      </c>
      <c r="J21" s="98">
        <f t="shared" si="4"/>
        <v>4.6286951552452233</v>
      </c>
      <c r="K21" s="9">
        <f t="shared" si="5"/>
        <v>4.6088476393139199</v>
      </c>
      <c r="L21" s="84">
        <f t="shared" si="6"/>
        <v>-77.023164663462538</v>
      </c>
      <c r="M21" s="98">
        <f t="shared" si="7"/>
        <v>283.03081408247641</v>
      </c>
      <c r="N21" s="9">
        <f t="shared" si="8"/>
        <v>283.0308153797551</v>
      </c>
      <c r="O21" s="9">
        <f t="shared" si="9"/>
        <v>283.0308153797551</v>
      </c>
      <c r="P21" s="9">
        <f t="shared" si="10"/>
        <v>282.97683533579078</v>
      </c>
      <c r="Q21" s="43">
        <f t="shared" si="11"/>
        <v>282.97683533653748</v>
      </c>
      <c r="R21" s="98">
        <f t="shared" si="12"/>
        <v>16.409798253733683</v>
      </c>
      <c r="S21" s="9">
        <f t="shared" si="13"/>
        <v>16.409796648326097</v>
      </c>
      <c r="T21" s="9">
        <f t="shared" si="14"/>
        <v>16.439256721677708</v>
      </c>
      <c r="U21" s="9">
        <f t="shared" si="15"/>
        <v>16.476878375228612</v>
      </c>
      <c r="V21" s="84">
        <f t="shared" si="16"/>
        <v>16.455724534196701</v>
      </c>
      <c r="W21" s="98">
        <f t="shared" si="17"/>
        <v>283.0308153797551</v>
      </c>
      <c r="X21" s="103">
        <f t="shared" si="18"/>
        <v>283</v>
      </c>
      <c r="Y21" s="98">
        <f t="shared" si="19"/>
        <v>16.448022485567673</v>
      </c>
      <c r="Z21" s="9">
        <f t="shared" si="20"/>
        <v>16.448022485567673</v>
      </c>
      <c r="AA21" s="9">
        <f t="shared" si="21"/>
        <v>16.477551184752571</v>
      </c>
      <c r="AB21" s="9">
        <f t="shared" si="22"/>
        <v>16.448022485567673</v>
      </c>
      <c r="AC21" s="84">
        <f t="shared" si="23"/>
        <v>16.426905692099972</v>
      </c>
      <c r="AD21" s="169">
        <f t="shared" si="24"/>
        <v>16.439256721677708</v>
      </c>
      <c r="AE21" s="112">
        <f t="shared" si="25"/>
        <v>3654</v>
      </c>
      <c r="AF21" s="170">
        <f t="shared" si="26"/>
        <v>-7500</v>
      </c>
      <c r="AG21" s="146">
        <f t="shared" si="27"/>
        <v>283</v>
      </c>
      <c r="AH21" s="55">
        <f t="shared" si="28"/>
        <v>16.440000000000001</v>
      </c>
      <c r="AI21" s="43">
        <f t="shared" si="29"/>
        <v>46.629999999997494</v>
      </c>
      <c r="AJ21" s="38"/>
      <c r="AR21">
        <v>16</v>
      </c>
      <c r="AS21">
        <f t="shared" si="32"/>
        <v>-76.24666666666667</v>
      </c>
      <c r="AT21">
        <f t="shared" si="33"/>
        <v>30.821666666666665</v>
      </c>
    </row>
    <row r="22" spans="1:46" ht="12.75" customHeight="1">
      <c r="A22" t="e">
        <f>IF(OR(RIGHT('RHUMBLINE SAILING'!B25,1)="S",RIGHT('RHUMBLINE SAILING'!B25,1)="s"),-1,1)*(VALUE(LEFT('RHUMBLINE SAILING'!B25,FIND("° ",'RHUMBLINE SAILING'!B25,1)-1))+VALUE(MID('RHUMBLINE SAILING'!B25,(FIND("° ",'RHUMBLINE SAILING'!B25,1)+2),6))/60)</f>
        <v>#VALUE!</v>
      </c>
      <c r="B22" t="e">
        <f>IF(OR(RIGHT('RHUMBLINE SAILING'!C25,1)="W",RIGHT('RHUMBLINE SAILING'!C25,1)="w"),-1,1)*(VALUE(LEFT('RHUMBLINE SAILING'!C25,FIND("° ",'RHUMBLINE SAILING'!C25,1)-1))+VALUE(MID('RHUMBLINE SAILING'!C25,(FIND("° ",'RHUMBLINE SAILING'!C25,1)+2),6))/60)</f>
        <v>#VALUE!</v>
      </c>
      <c r="C22">
        <v>18</v>
      </c>
      <c r="D22" s="165">
        <f>IF('RHUMBLINE SAILING'!B25="","",IF($D$2=2,'RHUMBLINE SAILING'!B25,TRUNC(A22)*100+(A22-TRUNC(A22))*60))</f>
        <v>3657.7</v>
      </c>
      <c r="E22" s="166">
        <f>IF('RHUMBLINE SAILING'!C25="","",IF($D$2=2,'RHUMBLINE SAILING'!C25,TRUNC(B22)*100+(B22-TRUNC(B22))*60))</f>
        <v>-7520</v>
      </c>
      <c r="F22" s="42">
        <f t="shared" si="0"/>
        <v>36.961666666666666</v>
      </c>
      <c r="G22" s="33">
        <f t="shared" si="1"/>
        <v>-75.333333333333343</v>
      </c>
      <c r="H22" s="33">
        <f t="shared" si="2"/>
        <v>0</v>
      </c>
      <c r="I22" s="33">
        <f t="shared" si="3"/>
        <v>-0.47166666666666401</v>
      </c>
      <c r="J22" s="98">
        <f t="shared" si="4"/>
        <v>0</v>
      </c>
      <c r="K22" s="9">
        <f t="shared" si="5"/>
        <v>0</v>
      </c>
      <c r="L22" s="84">
        <f t="shared" si="6"/>
        <v>-90</v>
      </c>
      <c r="M22" s="98">
        <f t="shared" si="7"/>
        <v>270</v>
      </c>
      <c r="N22" s="9">
        <f t="shared" si="8"/>
        <v>270</v>
      </c>
      <c r="O22" s="9">
        <f t="shared" si="9"/>
        <v>270</v>
      </c>
      <c r="P22" s="9">
        <f t="shared" si="10"/>
        <v>270</v>
      </c>
      <c r="Q22" s="43">
        <f t="shared" si="11"/>
        <v>270</v>
      </c>
      <c r="R22" s="98">
        <f t="shared" si="12"/>
        <v>22.612774588683365</v>
      </c>
      <c r="S22" s="9">
        <f t="shared" si="13"/>
        <v>22.612774588683365</v>
      </c>
      <c r="T22" s="9">
        <f t="shared" si="14"/>
        <v>22.653370704061434</v>
      </c>
      <c r="U22" s="9">
        <f t="shared" si="15"/>
        <v>22.612774588683365</v>
      </c>
      <c r="V22" s="84">
        <f t="shared" si="16"/>
        <v>22.680834268955657</v>
      </c>
      <c r="W22" s="98">
        <f t="shared" si="17"/>
        <v>270</v>
      </c>
      <c r="X22" s="103">
        <f t="shared" si="18"/>
        <v>270</v>
      </c>
      <c r="Y22" s="98">
        <f t="shared" si="19"/>
        <v>22.612774588683365</v>
      </c>
      <c r="Z22" s="9">
        <f t="shared" si="20"/>
        <v>22.612774588683365</v>
      </c>
      <c r="AA22" s="9">
        <f t="shared" si="21"/>
        <v>22.653370704061434</v>
      </c>
      <c r="AB22" s="9">
        <f t="shared" si="22"/>
        <v>22.612774588683365</v>
      </c>
      <c r="AC22" s="84">
        <f t="shared" si="23"/>
        <v>22.680834268955657</v>
      </c>
      <c r="AD22" s="169">
        <f t="shared" si="24"/>
        <v>22.653370704061434</v>
      </c>
      <c r="AE22" s="112">
        <f t="shared" si="25"/>
        <v>3657.7</v>
      </c>
      <c r="AF22" s="170">
        <f t="shared" si="26"/>
        <v>-7520.0000000000009</v>
      </c>
      <c r="AG22" s="146">
        <f t="shared" si="27"/>
        <v>270</v>
      </c>
      <c r="AH22" s="55">
        <f t="shared" si="28"/>
        <v>22.65</v>
      </c>
      <c r="AI22" s="43">
        <f t="shared" si="29"/>
        <v>30.189999999997493</v>
      </c>
      <c r="AJ22" s="38"/>
      <c r="AR22">
        <v>17</v>
      </c>
      <c r="AS22">
        <f t="shared" si="32"/>
        <v>-76.580000000000013</v>
      </c>
      <c r="AT22">
        <f t="shared" si="33"/>
        <v>30.883333333333333</v>
      </c>
    </row>
    <row r="23" spans="1:46" ht="12.75" customHeight="1">
      <c r="A23" t="e">
        <f>IF(OR(RIGHT('RHUMBLINE SAILING'!B26,1)="S",RIGHT('RHUMBLINE SAILING'!B26,1)="s"),-1,1)*(VALUE(LEFT('RHUMBLINE SAILING'!B26,FIND("° ",'RHUMBLINE SAILING'!B26,1)-1))+VALUE(MID('RHUMBLINE SAILING'!B26,(FIND("° ",'RHUMBLINE SAILING'!B26,1)+2),6))/60)</f>
        <v>#VALUE!</v>
      </c>
      <c r="B23" t="e">
        <f>IF(OR(RIGHT('RHUMBLINE SAILING'!C26,1)="W",RIGHT('RHUMBLINE SAILING'!C26,1)="w"),-1,1)*(VALUE(LEFT('RHUMBLINE SAILING'!C26,FIND("° ",'RHUMBLINE SAILING'!C26,1)-1))+VALUE(MID('RHUMBLINE SAILING'!C26,(FIND("° ",'RHUMBLINE SAILING'!C26,1)+2),6))/60)</f>
        <v>#VALUE!</v>
      </c>
      <c r="C23">
        <v>19</v>
      </c>
      <c r="D23" s="165">
        <f>IF('RHUMBLINE SAILING'!B26="","",IF($D$2=2,'RHUMBLINE SAILING'!B26,TRUNC(A23)*100+(A23-TRUNC(A23))*60))</f>
        <v>3657.7</v>
      </c>
      <c r="E23" s="166">
        <f>IF('RHUMBLINE SAILING'!C26="","",IF($D$2=2,'RHUMBLINE SAILING'!C26,TRUNC(B23)*100+(B23-TRUNC(B23))*60))</f>
        <v>-7548.3</v>
      </c>
      <c r="F23" s="42">
        <f t="shared" si="0"/>
        <v>36.961666666666666</v>
      </c>
      <c r="G23" s="33">
        <f t="shared" si="1"/>
        <v>-75.805000000000007</v>
      </c>
      <c r="H23" s="33">
        <f t="shared" si="2"/>
        <v>-1.833333333333087E-2</v>
      </c>
      <c r="I23" s="33">
        <f t="shared" si="3"/>
        <v>-6.8333333333328028E-2</v>
      </c>
      <c r="J23" s="98">
        <f t="shared" si="4"/>
        <v>-1.3764897893339136</v>
      </c>
      <c r="K23" s="9">
        <f t="shared" si="5"/>
        <v>-1.3705908394881128</v>
      </c>
      <c r="L23" s="84">
        <f t="shared" si="6"/>
        <v>-108.4842894459795</v>
      </c>
      <c r="M23" s="98">
        <f t="shared" si="7"/>
        <v>251.44159365168395</v>
      </c>
      <c r="N23" s="9">
        <f t="shared" si="8"/>
        <v>251.44159348988632</v>
      </c>
      <c r="O23" s="9">
        <f t="shared" si="9"/>
        <v>251.44159348988632</v>
      </c>
      <c r="P23" s="9">
        <f t="shared" si="10"/>
        <v>251.51571055504883</v>
      </c>
      <c r="Q23" s="43">
        <f t="shared" si="11"/>
        <v>251.5157105540205</v>
      </c>
      <c r="R23" s="98">
        <f t="shared" si="12"/>
        <v>3.4561720074393052</v>
      </c>
      <c r="S23" s="9">
        <f t="shared" si="13"/>
        <v>3.4561719783685918</v>
      </c>
      <c r="T23" s="9">
        <f t="shared" si="14"/>
        <v>3.4623767523935589</v>
      </c>
      <c r="U23" s="9">
        <f t="shared" si="15"/>
        <v>3.4695432565838238</v>
      </c>
      <c r="V23" s="84">
        <f t="shared" si="16"/>
        <v>3.4651015834762893</v>
      </c>
      <c r="W23" s="98">
        <f t="shared" si="17"/>
        <v>251.44159348988632</v>
      </c>
      <c r="X23" s="103">
        <f t="shared" si="18"/>
        <v>251.4</v>
      </c>
      <c r="Y23" s="98">
        <f t="shared" si="19"/>
        <v>3.4487157701106388</v>
      </c>
      <c r="Z23" s="9">
        <f t="shared" si="20"/>
        <v>3.4487157701106388</v>
      </c>
      <c r="AA23" s="9">
        <f t="shared" si="21"/>
        <v>3.4549071582023787</v>
      </c>
      <c r="AB23" s="9">
        <f t="shared" si="22"/>
        <v>3.4487157701106388</v>
      </c>
      <c r="AC23" s="84">
        <f t="shared" si="23"/>
        <v>3.4443007603190812</v>
      </c>
      <c r="AD23" s="169">
        <f t="shared" si="24"/>
        <v>3.4623767523935589</v>
      </c>
      <c r="AE23" s="112">
        <f t="shared" si="25"/>
        <v>3657.7</v>
      </c>
      <c r="AF23" s="170">
        <f t="shared" si="26"/>
        <v>-7548.3</v>
      </c>
      <c r="AG23" s="146">
        <f t="shared" si="27"/>
        <v>251.4</v>
      </c>
      <c r="AH23" s="55">
        <f t="shared" si="28"/>
        <v>3.46</v>
      </c>
      <c r="AI23" s="43">
        <f t="shared" si="29"/>
        <v>7.5399999999974945</v>
      </c>
      <c r="AJ23" s="38"/>
      <c r="AR23">
        <v>18</v>
      </c>
      <c r="AS23">
        <f t="shared" si="32"/>
        <v>-77.051666666666677</v>
      </c>
      <c r="AT23">
        <f t="shared" si="33"/>
        <v>30.883333333333333</v>
      </c>
    </row>
    <row r="24" spans="1:46" ht="12.75" customHeight="1">
      <c r="A24" t="e">
        <f>IF(OR(RIGHT('RHUMBLINE SAILING'!B27,1)="S",RIGHT('RHUMBLINE SAILING'!B27,1)="s"),-1,1)*(VALUE(LEFT('RHUMBLINE SAILING'!B27,FIND("° ",'RHUMBLINE SAILING'!B27,1)-1))+VALUE(MID('RHUMBLINE SAILING'!B27,(FIND("° ",'RHUMBLINE SAILING'!B27,1)+2),6))/60)</f>
        <v>#VALUE!</v>
      </c>
      <c r="B24" t="e">
        <f>IF(OR(RIGHT('RHUMBLINE SAILING'!C27,1)="W",RIGHT('RHUMBLINE SAILING'!C27,1)="w"),-1,1)*(VALUE(LEFT('RHUMBLINE SAILING'!C27,FIND("° ",'RHUMBLINE SAILING'!C27,1)-1))+VALUE(MID('RHUMBLINE SAILING'!C27,(FIND("° ",'RHUMBLINE SAILING'!C27,1)+2),6))/60)</f>
        <v>#VALUE!</v>
      </c>
      <c r="C24">
        <v>20</v>
      </c>
      <c r="D24" s="165">
        <f>IF('RHUMBLINE SAILING'!B27="","",IF($D$2=2,'RHUMBLINE SAILING'!B27,TRUNC(A24)*100+(A24-TRUNC(A24))*60))</f>
        <v>3656.6</v>
      </c>
      <c r="E24" s="166">
        <f>IF('RHUMBLINE SAILING'!C27="","",IF($D$2=2,'RHUMBLINE SAILING'!C27,TRUNC(B24)*100+(B24-TRUNC(B24))*60))</f>
        <v>-7552.4</v>
      </c>
      <c r="F24" s="42">
        <f t="shared" si="0"/>
        <v>36.943333333333335</v>
      </c>
      <c r="G24" s="33">
        <f t="shared" si="1"/>
        <v>-75.873333333333335</v>
      </c>
      <c r="H24" s="33">
        <f t="shared" si="2"/>
        <v>0</v>
      </c>
      <c r="I24" s="33">
        <f t="shared" si="3"/>
        <v>-8.5000000000007958E-2</v>
      </c>
      <c r="J24" s="98">
        <f t="shared" si="4"/>
        <v>0</v>
      </c>
      <c r="K24" s="9">
        <f t="shared" si="5"/>
        <v>0</v>
      </c>
      <c r="L24" s="84">
        <f t="shared" si="6"/>
        <v>-90</v>
      </c>
      <c r="M24" s="98">
        <f t="shared" si="7"/>
        <v>270</v>
      </c>
      <c r="N24" s="9">
        <f t="shared" si="8"/>
        <v>270</v>
      </c>
      <c r="O24" s="9">
        <f t="shared" si="9"/>
        <v>270</v>
      </c>
      <c r="P24" s="9">
        <f t="shared" si="10"/>
        <v>270</v>
      </c>
      <c r="Q24" s="43">
        <f t="shared" si="11"/>
        <v>270</v>
      </c>
      <c r="R24" s="98">
        <f t="shared" si="12"/>
        <v>4.0760746646056711</v>
      </c>
      <c r="S24" s="9">
        <f t="shared" si="13"/>
        <v>4.076074664605672</v>
      </c>
      <c r="T24" s="9">
        <f t="shared" si="14"/>
        <v>4.0833923335067173</v>
      </c>
      <c r="U24" s="9">
        <f t="shared" si="15"/>
        <v>4.076074664605672</v>
      </c>
      <c r="V24" s="84">
        <f t="shared" si="16"/>
        <v>4.0883385720220744</v>
      </c>
      <c r="W24" s="98">
        <f t="shared" si="17"/>
        <v>270</v>
      </c>
      <c r="X24" s="103">
        <f t="shared" si="18"/>
        <v>270</v>
      </c>
      <c r="Y24" s="98">
        <f t="shared" si="19"/>
        <v>4.0760746646056711</v>
      </c>
      <c r="Z24" s="9">
        <f t="shared" si="20"/>
        <v>4.076074664605672</v>
      </c>
      <c r="AA24" s="9">
        <f t="shared" si="21"/>
        <v>4.0833923335067173</v>
      </c>
      <c r="AB24" s="9">
        <f t="shared" si="22"/>
        <v>4.076074664605672</v>
      </c>
      <c r="AC24" s="84">
        <f t="shared" si="23"/>
        <v>4.0883385720220744</v>
      </c>
      <c r="AD24" s="169">
        <f t="shared" si="24"/>
        <v>4.0833923335067173</v>
      </c>
      <c r="AE24" s="112">
        <f t="shared" si="25"/>
        <v>3656.6</v>
      </c>
      <c r="AF24" s="170">
        <f t="shared" si="26"/>
        <v>-7552.4</v>
      </c>
      <c r="AG24" s="146">
        <f t="shared" si="27"/>
        <v>270</v>
      </c>
      <c r="AH24" s="55">
        <f t="shared" si="28"/>
        <v>4.08</v>
      </c>
      <c r="AI24" s="43">
        <f t="shared" si="29"/>
        <v>4.0799999999974945</v>
      </c>
      <c r="AJ24" s="38"/>
      <c r="AR24">
        <v>19</v>
      </c>
      <c r="AS24">
        <f t="shared" si="32"/>
        <v>-77.12</v>
      </c>
      <c r="AT24">
        <f t="shared" si="33"/>
        <v>30.865000000000002</v>
      </c>
    </row>
    <row r="25" spans="1:46" ht="12.75" customHeight="1">
      <c r="A25" t="e">
        <f>IF(OR(RIGHT('RHUMBLINE SAILING'!B28,1)="S",RIGHT('RHUMBLINE SAILING'!B28,1)="s"),-1,1)*(VALUE(LEFT('RHUMBLINE SAILING'!B28,FIND("° ",'RHUMBLINE SAILING'!B28,1)-1))+VALUE(MID('RHUMBLINE SAILING'!B28,(FIND("° ",'RHUMBLINE SAILING'!B28,1)+2),6))/60)</f>
        <v>#VALUE!</v>
      </c>
      <c r="B25" t="e">
        <f>IF(OR(RIGHT('RHUMBLINE SAILING'!C28,1)="W",RIGHT('RHUMBLINE SAILING'!C28,1)="w"),-1,1)*(VALUE(LEFT('RHUMBLINE SAILING'!C28,FIND("° ",'RHUMBLINE SAILING'!C28,1)-1))+VALUE(MID('RHUMBLINE SAILING'!C28,(FIND("° ",'RHUMBLINE SAILING'!C28,1)+2),6))/60)</f>
        <v>#VALUE!</v>
      </c>
      <c r="C25">
        <v>21</v>
      </c>
      <c r="D25" s="165">
        <f>IF('RHUMBLINE SAILING'!B28="","",IF($D$2=2,'RHUMBLINE SAILING'!B28,TRUNC(A25)*100+(A25-TRUNC(A25))*60))</f>
        <v>3656.6</v>
      </c>
      <c r="E25" s="166">
        <f>IF('RHUMBLINE SAILING'!C28="","",IF($D$2=2,'RHUMBLINE SAILING'!C28,TRUNC(B25)*100+(B25-TRUNC(B25))*60))</f>
        <v>-7557.5</v>
      </c>
      <c r="F25" s="42">
        <f t="shared" si="0"/>
        <v>36.943333333333335</v>
      </c>
      <c r="G25" s="33">
        <f t="shared" si="1"/>
        <v>-75.958333333333343</v>
      </c>
      <c r="H25" s="33" t="str">
        <f t="shared" si="2"/>
        <v/>
      </c>
      <c r="I25" s="33" t="str">
        <f t="shared" si="3"/>
        <v/>
      </c>
      <c r="J25" s="98" t="str">
        <f t="shared" si="4"/>
        <v/>
      </c>
      <c r="K25" s="33" t="str">
        <f t="shared" si="5"/>
        <v/>
      </c>
      <c r="L25" s="43" t="str">
        <f t="shared" si="6"/>
        <v/>
      </c>
      <c r="M25" s="98" t="str">
        <f t="shared" si="7"/>
        <v/>
      </c>
      <c r="N25" s="9" t="str">
        <f t="shared" si="8"/>
        <v/>
      </c>
      <c r="O25" s="9" t="str">
        <f t="shared" si="9"/>
        <v/>
      </c>
      <c r="P25" s="9" t="str">
        <f t="shared" si="10"/>
        <v/>
      </c>
      <c r="Q25" s="43" t="str">
        <f t="shared" si="11"/>
        <v/>
      </c>
      <c r="R25" s="98" t="str">
        <f t="shared" si="12"/>
        <v/>
      </c>
      <c r="S25" s="9" t="str">
        <f t="shared" si="13"/>
        <v/>
      </c>
      <c r="T25" s="9" t="str">
        <f t="shared" si="14"/>
        <v/>
      </c>
      <c r="U25" s="9" t="str">
        <f t="shared" si="15"/>
        <v/>
      </c>
      <c r="V25" s="84" t="str">
        <f t="shared" si="16"/>
        <v/>
      </c>
      <c r="W25" s="98" t="str">
        <f t="shared" si="17"/>
        <v/>
      </c>
      <c r="X25" s="103" t="str">
        <f t="shared" si="18"/>
        <v/>
      </c>
      <c r="Y25" s="98" t="str">
        <f t="shared" si="19"/>
        <v/>
      </c>
      <c r="Z25" s="9" t="str">
        <f t="shared" si="20"/>
        <v/>
      </c>
      <c r="AA25" s="9" t="str">
        <f t="shared" si="21"/>
        <v/>
      </c>
      <c r="AB25" s="9" t="str">
        <f t="shared" si="22"/>
        <v/>
      </c>
      <c r="AC25" s="84" t="str">
        <f t="shared" si="23"/>
        <v/>
      </c>
      <c r="AD25" s="169" t="str">
        <f t="shared" si="24"/>
        <v/>
      </c>
      <c r="AE25" s="112">
        <f t="shared" si="25"/>
        <v>3656.6</v>
      </c>
      <c r="AF25" s="170">
        <f t="shared" si="26"/>
        <v>-7557.5000000000009</v>
      </c>
      <c r="AG25" s="146" t="str">
        <f t="shared" si="27"/>
        <v/>
      </c>
      <c r="AH25" s="55" t="str">
        <f t="shared" si="28"/>
        <v/>
      </c>
      <c r="AI25" s="43" t="str">
        <f t="shared" si="29"/>
        <v/>
      </c>
      <c r="AJ25" s="38"/>
      <c r="AR25">
        <v>20</v>
      </c>
      <c r="AS25">
        <f t="shared" ref="AS25:AS64" si="34">IF(I24="","",AS24+I24)</f>
        <v>-77.205000000000013</v>
      </c>
      <c r="AT25">
        <f t="shared" ref="AT25:AT64" si="35">IF(H24="","",AT24+H24)</f>
        <v>30.865000000000002</v>
      </c>
    </row>
    <row r="26" spans="1:46" ht="12.75" customHeight="1">
      <c r="A26" t="e">
        <f>IF(OR(RIGHT('RHUMBLINE SAILING'!B29,1)="S",RIGHT('RHUMBLINE SAILING'!B29,1)="s"),-1,1)*(VALUE(LEFT('RHUMBLINE SAILING'!B29,FIND("° ",'RHUMBLINE SAILING'!B29,1)-1))+VALUE(MID('RHUMBLINE SAILING'!B29,(FIND("° ",'RHUMBLINE SAILING'!B29,1)+2),6))/60)</f>
        <v>#VALUE!</v>
      </c>
      <c r="B26" t="e">
        <f>IF(OR(RIGHT('RHUMBLINE SAILING'!C29,1)="W",RIGHT('RHUMBLINE SAILING'!C29,1)="w"),-1,1)*(VALUE(LEFT('RHUMBLINE SAILING'!C29,FIND("° ",'RHUMBLINE SAILING'!C29,1)-1))+VALUE(MID('RHUMBLINE SAILING'!C29,(FIND("° ",'RHUMBLINE SAILING'!C29,1)+2),6))/60)</f>
        <v>#VALUE!</v>
      </c>
      <c r="C26">
        <v>22</v>
      </c>
      <c r="D26" s="165" t="str">
        <f>IF('RHUMBLINE SAILING'!B29="","",IF($D$2=2,'RHUMBLINE SAILING'!B29,TRUNC(A26)*100+(A26-TRUNC(A26))*60))</f>
        <v/>
      </c>
      <c r="E26" s="166" t="str">
        <f>IF('RHUMBLINE SAILING'!C29="","",IF($D$2=2,'RHUMBLINE SAILING'!C29,TRUNC(B26)*100+(B26-TRUNC(B26))*60))</f>
        <v/>
      </c>
      <c r="F26" s="42" t="str">
        <f t="shared" si="0"/>
        <v/>
      </c>
      <c r="G26" s="33" t="str">
        <f t="shared" si="1"/>
        <v/>
      </c>
      <c r="H26" s="33" t="str">
        <f t="shared" si="2"/>
        <v/>
      </c>
      <c r="I26" s="33" t="str">
        <f t="shared" si="3"/>
        <v/>
      </c>
      <c r="J26" s="98" t="str">
        <f t="shared" si="4"/>
        <v/>
      </c>
      <c r="K26" s="33" t="str">
        <f t="shared" si="5"/>
        <v/>
      </c>
      <c r="L26" s="43" t="str">
        <f t="shared" si="6"/>
        <v/>
      </c>
      <c r="M26" s="98" t="str">
        <f t="shared" si="7"/>
        <v/>
      </c>
      <c r="N26" s="9" t="str">
        <f t="shared" si="8"/>
        <v/>
      </c>
      <c r="O26" s="9" t="str">
        <f t="shared" si="9"/>
        <v/>
      </c>
      <c r="P26" s="9" t="str">
        <f t="shared" si="10"/>
        <v/>
      </c>
      <c r="Q26" s="43" t="str">
        <f t="shared" si="11"/>
        <v/>
      </c>
      <c r="R26" s="98" t="str">
        <f t="shared" si="12"/>
        <v/>
      </c>
      <c r="S26" s="9" t="str">
        <f t="shared" si="13"/>
        <v/>
      </c>
      <c r="T26" s="9" t="str">
        <f t="shared" si="14"/>
        <v/>
      </c>
      <c r="U26" s="9" t="str">
        <f t="shared" si="15"/>
        <v/>
      </c>
      <c r="V26" s="84" t="str">
        <f t="shared" si="16"/>
        <v/>
      </c>
      <c r="W26" s="98" t="str">
        <f t="shared" si="17"/>
        <v/>
      </c>
      <c r="X26" s="103" t="str">
        <f t="shared" si="18"/>
        <v/>
      </c>
      <c r="Y26" s="98" t="str">
        <f t="shared" si="19"/>
        <v/>
      </c>
      <c r="Z26" s="9" t="str">
        <f t="shared" si="20"/>
        <v/>
      </c>
      <c r="AA26" s="9" t="str">
        <f t="shared" si="21"/>
        <v/>
      </c>
      <c r="AB26" s="9" t="str">
        <f t="shared" si="22"/>
        <v/>
      </c>
      <c r="AC26" s="84" t="str">
        <f t="shared" si="23"/>
        <v/>
      </c>
      <c r="AD26" s="169" t="str">
        <f t="shared" si="24"/>
        <v/>
      </c>
      <c r="AE26" s="112" t="str">
        <f t="shared" si="25"/>
        <v/>
      </c>
      <c r="AF26" s="170" t="str">
        <f t="shared" si="26"/>
        <v/>
      </c>
      <c r="AG26" s="146" t="str">
        <f t="shared" si="27"/>
        <v/>
      </c>
      <c r="AH26" s="55" t="str">
        <f t="shared" si="28"/>
        <v/>
      </c>
      <c r="AI26" s="43" t="str">
        <f t="shared" si="29"/>
        <v/>
      </c>
      <c r="AJ26" s="38"/>
      <c r="AR26">
        <v>21</v>
      </c>
      <c r="AS26" t="str">
        <f t="shared" si="34"/>
        <v/>
      </c>
      <c r="AT26" t="str">
        <f t="shared" si="35"/>
        <v/>
      </c>
    </row>
    <row r="27" spans="1:46" ht="12.75" customHeight="1">
      <c r="A27" t="e">
        <f>IF(OR(RIGHT('RHUMBLINE SAILING'!B30,1)="S",RIGHT('RHUMBLINE SAILING'!B30,1)="s"),-1,1)*(VALUE(LEFT('RHUMBLINE SAILING'!B30,FIND("° ",'RHUMBLINE SAILING'!B30,1)-1))+VALUE(MID('RHUMBLINE SAILING'!B30,(FIND("° ",'RHUMBLINE SAILING'!B30,1)+2),6))/60)</f>
        <v>#VALUE!</v>
      </c>
      <c r="B27" t="e">
        <f>IF(OR(RIGHT('RHUMBLINE SAILING'!C30,1)="W",RIGHT('RHUMBLINE SAILING'!C30,1)="w"),-1,1)*(VALUE(LEFT('RHUMBLINE SAILING'!C30,FIND("° ",'RHUMBLINE SAILING'!C30,1)-1))+VALUE(MID('RHUMBLINE SAILING'!C30,(FIND("° ",'RHUMBLINE SAILING'!C30,1)+2),6))/60)</f>
        <v>#VALUE!</v>
      </c>
      <c r="C27">
        <v>23</v>
      </c>
      <c r="D27" s="165" t="str">
        <f>IF('RHUMBLINE SAILING'!B30="","",IF($D$2=2,'RHUMBLINE SAILING'!B30,TRUNC(A27)*100+(A27-TRUNC(A27))*60))</f>
        <v/>
      </c>
      <c r="E27" s="166" t="str">
        <f>IF('RHUMBLINE SAILING'!C30="","",IF($D$2=2,'RHUMBLINE SAILING'!C30,TRUNC(B27)*100+(B27-TRUNC(B27))*60))</f>
        <v/>
      </c>
      <c r="F27" s="42" t="str">
        <f t="shared" si="0"/>
        <v/>
      </c>
      <c r="G27" s="33" t="str">
        <f t="shared" si="1"/>
        <v/>
      </c>
      <c r="H27" s="33" t="str">
        <f t="shared" si="2"/>
        <v/>
      </c>
      <c r="I27" s="33" t="str">
        <f t="shared" si="3"/>
        <v/>
      </c>
      <c r="J27" s="98" t="str">
        <f t="shared" si="4"/>
        <v/>
      </c>
      <c r="K27" s="33" t="str">
        <f t="shared" si="5"/>
        <v/>
      </c>
      <c r="L27" s="43" t="str">
        <f t="shared" si="6"/>
        <v/>
      </c>
      <c r="M27" s="98" t="str">
        <f t="shared" si="7"/>
        <v/>
      </c>
      <c r="N27" s="9" t="str">
        <f t="shared" si="8"/>
        <v/>
      </c>
      <c r="O27" s="9" t="str">
        <f t="shared" si="9"/>
        <v/>
      </c>
      <c r="P27" s="9" t="str">
        <f t="shared" si="10"/>
        <v/>
      </c>
      <c r="Q27" s="43" t="str">
        <f t="shared" si="11"/>
        <v/>
      </c>
      <c r="R27" s="98" t="str">
        <f t="shared" si="12"/>
        <v/>
      </c>
      <c r="S27" s="9" t="str">
        <f t="shared" si="13"/>
        <v/>
      </c>
      <c r="T27" s="9" t="str">
        <f t="shared" si="14"/>
        <v/>
      </c>
      <c r="U27" s="9" t="str">
        <f t="shared" si="15"/>
        <v/>
      </c>
      <c r="V27" s="84" t="str">
        <f t="shared" si="16"/>
        <v/>
      </c>
      <c r="W27" s="98" t="str">
        <f t="shared" si="17"/>
        <v/>
      </c>
      <c r="X27" s="103" t="str">
        <f t="shared" si="18"/>
        <v/>
      </c>
      <c r="Y27" s="98" t="str">
        <f t="shared" si="19"/>
        <v/>
      </c>
      <c r="Z27" s="9" t="str">
        <f t="shared" si="20"/>
        <v/>
      </c>
      <c r="AA27" s="9" t="str">
        <f t="shared" si="21"/>
        <v/>
      </c>
      <c r="AB27" s="9" t="str">
        <f t="shared" si="22"/>
        <v/>
      </c>
      <c r="AC27" s="84" t="str">
        <f t="shared" si="23"/>
        <v/>
      </c>
      <c r="AD27" s="169" t="str">
        <f t="shared" si="24"/>
        <v/>
      </c>
      <c r="AE27" s="112" t="str">
        <f t="shared" si="25"/>
        <v/>
      </c>
      <c r="AF27" s="170" t="str">
        <f t="shared" si="26"/>
        <v/>
      </c>
      <c r="AG27" s="146" t="str">
        <f t="shared" si="27"/>
        <v/>
      </c>
      <c r="AH27" s="55" t="str">
        <f t="shared" si="28"/>
        <v/>
      </c>
      <c r="AI27" s="43" t="str">
        <f t="shared" si="29"/>
        <v/>
      </c>
      <c r="AJ27" s="38"/>
      <c r="AR27">
        <v>22</v>
      </c>
      <c r="AS27" t="str">
        <f t="shared" si="34"/>
        <v/>
      </c>
      <c r="AT27" t="str">
        <f t="shared" si="35"/>
        <v/>
      </c>
    </row>
    <row r="28" spans="1:46">
      <c r="A28" t="e">
        <f>IF(OR(RIGHT('RHUMBLINE SAILING'!B31,1)="S",RIGHT('RHUMBLINE SAILING'!B31,1)="s"),-1,1)*(VALUE(LEFT('RHUMBLINE SAILING'!B31,FIND("° ",'RHUMBLINE SAILING'!B31,1)-1))+VALUE(MID('RHUMBLINE SAILING'!B31,(FIND("° ",'RHUMBLINE SAILING'!B31,1)+2),6))/60)</f>
        <v>#VALUE!</v>
      </c>
      <c r="B28" t="e">
        <f>IF(OR(RIGHT('RHUMBLINE SAILING'!C31,1)="W",RIGHT('RHUMBLINE SAILING'!C31,1)="w"),-1,1)*(VALUE(LEFT('RHUMBLINE SAILING'!C31,FIND("° ",'RHUMBLINE SAILING'!C31,1)-1))+VALUE(MID('RHUMBLINE SAILING'!C31,(FIND("° ",'RHUMBLINE SAILING'!C31,1)+2),6))/60)</f>
        <v>#VALUE!</v>
      </c>
      <c r="C28">
        <v>24</v>
      </c>
      <c r="D28" s="165" t="str">
        <f>IF('RHUMBLINE SAILING'!B31="","",IF($D$2=2,'RHUMBLINE SAILING'!B31,TRUNC(A28)*100+(A28-TRUNC(A28))*60))</f>
        <v/>
      </c>
      <c r="E28" s="166" t="str">
        <f>IF('RHUMBLINE SAILING'!C31="","",IF($D$2=2,'RHUMBLINE SAILING'!C31,TRUNC(B28)*100+(B28-TRUNC(B28))*60))</f>
        <v/>
      </c>
      <c r="F28" s="42" t="str">
        <f t="shared" si="0"/>
        <v/>
      </c>
      <c r="G28" s="33" t="str">
        <f t="shared" si="1"/>
        <v/>
      </c>
      <c r="H28" s="33" t="str">
        <f t="shared" si="2"/>
        <v/>
      </c>
      <c r="I28" s="33" t="str">
        <f t="shared" si="3"/>
        <v/>
      </c>
      <c r="J28" s="98" t="str">
        <f t="shared" si="4"/>
        <v/>
      </c>
      <c r="K28" s="33" t="str">
        <f t="shared" si="5"/>
        <v/>
      </c>
      <c r="L28" s="43" t="str">
        <f t="shared" si="6"/>
        <v/>
      </c>
      <c r="M28" s="98" t="str">
        <f t="shared" si="7"/>
        <v/>
      </c>
      <c r="N28" s="9" t="str">
        <f t="shared" si="8"/>
        <v/>
      </c>
      <c r="O28" s="9" t="str">
        <f t="shared" si="9"/>
        <v/>
      </c>
      <c r="P28" s="9" t="str">
        <f t="shared" si="10"/>
        <v/>
      </c>
      <c r="Q28" s="43" t="str">
        <f t="shared" si="11"/>
        <v/>
      </c>
      <c r="R28" s="98" t="str">
        <f t="shared" si="12"/>
        <v/>
      </c>
      <c r="S28" s="9" t="str">
        <f t="shared" si="13"/>
        <v/>
      </c>
      <c r="T28" s="9" t="str">
        <f t="shared" si="14"/>
        <v/>
      </c>
      <c r="U28" s="9" t="str">
        <f t="shared" si="15"/>
        <v/>
      </c>
      <c r="V28" s="84" t="str">
        <f t="shared" si="16"/>
        <v/>
      </c>
      <c r="W28" s="98" t="str">
        <f t="shared" si="17"/>
        <v/>
      </c>
      <c r="X28" s="103" t="str">
        <f t="shared" si="18"/>
        <v/>
      </c>
      <c r="Y28" s="98" t="str">
        <f t="shared" si="19"/>
        <v/>
      </c>
      <c r="Z28" s="9" t="str">
        <f t="shared" si="20"/>
        <v/>
      </c>
      <c r="AA28" s="9" t="str">
        <f t="shared" si="21"/>
        <v/>
      </c>
      <c r="AB28" s="9" t="str">
        <f t="shared" si="22"/>
        <v/>
      </c>
      <c r="AC28" s="84" t="str">
        <f t="shared" si="23"/>
        <v/>
      </c>
      <c r="AD28" s="169" t="str">
        <f t="shared" si="24"/>
        <v/>
      </c>
      <c r="AE28" s="112" t="str">
        <f t="shared" si="25"/>
        <v/>
      </c>
      <c r="AF28" s="170" t="str">
        <f t="shared" si="26"/>
        <v/>
      </c>
      <c r="AG28" s="146" t="str">
        <f t="shared" si="27"/>
        <v/>
      </c>
      <c r="AH28" s="55" t="str">
        <f t="shared" si="28"/>
        <v/>
      </c>
      <c r="AI28" s="43" t="str">
        <f t="shared" si="29"/>
        <v/>
      </c>
      <c r="AJ28" s="38"/>
      <c r="AR28">
        <v>23</v>
      </c>
      <c r="AS28" t="str">
        <f t="shared" si="34"/>
        <v/>
      </c>
      <c r="AT28" t="str">
        <f t="shared" si="35"/>
        <v/>
      </c>
    </row>
    <row r="29" spans="1:46">
      <c r="A29" t="e">
        <f>IF(OR(RIGHT('RHUMBLINE SAILING'!B32,1)="S",RIGHT('RHUMBLINE SAILING'!B32,1)="s"),-1,1)*(VALUE(LEFT('RHUMBLINE SAILING'!B32,FIND("° ",'RHUMBLINE SAILING'!B32,1)-1))+VALUE(MID('RHUMBLINE SAILING'!B32,(FIND("° ",'RHUMBLINE SAILING'!B32,1)+2),6))/60)</f>
        <v>#VALUE!</v>
      </c>
      <c r="B29" t="e">
        <f>IF(OR(RIGHT('RHUMBLINE SAILING'!C32,1)="W",RIGHT('RHUMBLINE SAILING'!C32,1)="w"),-1,1)*(VALUE(LEFT('RHUMBLINE SAILING'!C32,FIND("° ",'RHUMBLINE SAILING'!C32,1)-1))+VALUE(MID('RHUMBLINE SAILING'!C32,(FIND("° ",'RHUMBLINE SAILING'!C32,1)+2),6))/60)</f>
        <v>#VALUE!</v>
      </c>
      <c r="C29">
        <v>25</v>
      </c>
      <c r="D29" s="165" t="str">
        <f>IF('RHUMBLINE SAILING'!B32="","",IF($D$2=2,'RHUMBLINE SAILING'!B32,TRUNC(A29)*100+(A29-TRUNC(A29))*60))</f>
        <v/>
      </c>
      <c r="E29" s="166" t="str">
        <f>IF('RHUMBLINE SAILING'!C32="","",IF($D$2=2,'RHUMBLINE SAILING'!C32,TRUNC(B29)*100+(B29-TRUNC(B29))*60))</f>
        <v/>
      </c>
      <c r="F29" s="42" t="str">
        <f t="shared" si="0"/>
        <v/>
      </c>
      <c r="G29" s="33" t="str">
        <f t="shared" si="1"/>
        <v/>
      </c>
      <c r="H29" s="33" t="str">
        <f t="shared" si="2"/>
        <v/>
      </c>
      <c r="I29" s="33" t="str">
        <f t="shared" si="3"/>
        <v/>
      </c>
      <c r="J29" s="98" t="str">
        <f t="shared" si="4"/>
        <v/>
      </c>
      <c r="K29" s="33" t="str">
        <f t="shared" si="5"/>
        <v/>
      </c>
      <c r="L29" s="43" t="str">
        <f t="shared" si="6"/>
        <v/>
      </c>
      <c r="M29" s="98" t="str">
        <f t="shared" si="7"/>
        <v/>
      </c>
      <c r="N29" s="9" t="str">
        <f t="shared" si="8"/>
        <v/>
      </c>
      <c r="O29" s="9" t="str">
        <f t="shared" si="9"/>
        <v/>
      </c>
      <c r="P29" s="9" t="str">
        <f t="shared" si="10"/>
        <v/>
      </c>
      <c r="Q29" s="43" t="str">
        <f t="shared" si="11"/>
        <v/>
      </c>
      <c r="R29" s="98" t="str">
        <f t="shared" si="12"/>
        <v/>
      </c>
      <c r="S29" s="9" t="str">
        <f t="shared" si="13"/>
        <v/>
      </c>
      <c r="T29" s="9" t="str">
        <f t="shared" si="14"/>
        <v/>
      </c>
      <c r="U29" s="9" t="str">
        <f t="shared" si="15"/>
        <v/>
      </c>
      <c r="V29" s="84" t="str">
        <f t="shared" si="16"/>
        <v/>
      </c>
      <c r="W29" s="98" t="str">
        <f t="shared" si="17"/>
        <v/>
      </c>
      <c r="X29" s="103" t="str">
        <f t="shared" si="18"/>
        <v/>
      </c>
      <c r="Y29" s="98" t="str">
        <f t="shared" si="19"/>
        <v/>
      </c>
      <c r="Z29" s="9" t="str">
        <f t="shared" si="20"/>
        <v/>
      </c>
      <c r="AA29" s="9" t="str">
        <f t="shared" si="21"/>
        <v/>
      </c>
      <c r="AB29" s="9" t="str">
        <f t="shared" si="22"/>
        <v/>
      </c>
      <c r="AC29" s="84" t="str">
        <f t="shared" si="23"/>
        <v/>
      </c>
      <c r="AD29" s="169" t="str">
        <f t="shared" si="24"/>
        <v/>
      </c>
      <c r="AE29" s="112" t="str">
        <f t="shared" si="25"/>
        <v/>
      </c>
      <c r="AF29" s="170" t="str">
        <f t="shared" si="26"/>
        <v/>
      </c>
      <c r="AG29" s="146" t="str">
        <f t="shared" si="27"/>
        <v/>
      </c>
      <c r="AH29" s="55" t="str">
        <f t="shared" si="28"/>
        <v/>
      </c>
      <c r="AI29" s="43" t="str">
        <f t="shared" si="29"/>
        <v/>
      </c>
      <c r="AJ29" s="38"/>
      <c r="AR29">
        <v>24</v>
      </c>
      <c r="AS29" t="str">
        <f t="shared" si="34"/>
        <v/>
      </c>
      <c r="AT29" t="str">
        <f t="shared" si="35"/>
        <v/>
      </c>
    </row>
    <row r="30" spans="1:46">
      <c r="A30" t="e">
        <f>IF(OR(RIGHT('RHUMBLINE SAILING'!B33,1)="S",RIGHT('RHUMBLINE SAILING'!B33,1)="s"),-1,1)*(VALUE(LEFT('RHUMBLINE SAILING'!B33,FIND("° ",'RHUMBLINE SAILING'!B33,1)-1))+VALUE(MID('RHUMBLINE SAILING'!B33,(FIND("° ",'RHUMBLINE SAILING'!B33,1)+2),6))/60)</f>
        <v>#VALUE!</v>
      </c>
      <c r="B30" t="e">
        <f>IF(OR(RIGHT('RHUMBLINE SAILING'!C33,1)="W",RIGHT('RHUMBLINE SAILING'!C33,1)="w"),-1,1)*(VALUE(LEFT('RHUMBLINE SAILING'!C33,FIND("° ",'RHUMBLINE SAILING'!C33,1)-1))+VALUE(MID('RHUMBLINE SAILING'!C33,(FIND("° ",'RHUMBLINE SAILING'!C33,1)+2),6))/60)</f>
        <v>#VALUE!</v>
      </c>
      <c r="C30">
        <v>26</v>
      </c>
      <c r="D30" s="165" t="str">
        <f>IF('RHUMBLINE SAILING'!B33="","",IF($D$2=2,'RHUMBLINE SAILING'!B33,TRUNC(A30)*100+(A30-TRUNC(A30))*60))</f>
        <v/>
      </c>
      <c r="E30" s="166" t="str">
        <f>IF('RHUMBLINE SAILING'!C33="","",IF($D$2=2,'RHUMBLINE SAILING'!C33,TRUNC(B30)*100+(B30-TRUNC(B30))*60))</f>
        <v/>
      </c>
      <c r="F30" s="42" t="str">
        <f t="shared" si="0"/>
        <v/>
      </c>
      <c r="G30" s="33" t="str">
        <f t="shared" si="1"/>
        <v/>
      </c>
      <c r="H30" s="33" t="str">
        <f t="shared" si="2"/>
        <v/>
      </c>
      <c r="I30" s="33" t="str">
        <f t="shared" si="3"/>
        <v/>
      </c>
      <c r="J30" s="98" t="str">
        <f t="shared" si="4"/>
        <v/>
      </c>
      <c r="K30" s="33" t="str">
        <f t="shared" si="5"/>
        <v/>
      </c>
      <c r="L30" s="43" t="str">
        <f t="shared" si="6"/>
        <v/>
      </c>
      <c r="M30" s="98" t="str">
        <f t="shared" si="7"/>
        <v/>
      </c>
      <c r="N30" s="9" t="str">
        <f t="shared" si="8"/>
        <v/>
      </c>
      <c r="O30" s="9" t="str">
        <f t="shared" si="9"/>
        <v/>
      </c>
      <c r="P30" s="9" t="str">
        <f t="shared" si="10"/>
        <v/>
      </c>
      <c r="Q30" s="43" t="str">
        <f t="shared" si="11"/>
        <v/>
      </c>
      <c r="R30" s="98" t="str">
        <f t="shared" si="12"/>
        <v/>
      </c>
      <c r="S30" s="9" t="str">
        <f t="shared" si="13"/>
        <v/>
      </c>
      <c r="T30" s="9" t="str">
        <f t="shared" si="14"/>
        <v/>
      </c>
      <c r="U30" s="9" t="str">
        <f t="shared" si="15"/>
        <v/>
      </c>
      <c r="V30" s="84" t="str">
        <f t="shared" si="16"/>
        <v/>
      </c>
      <c r="W30" s="98" t="str">
        <f t="shared" si="17"/>
        <v/>
      </c>
      <c r="X30" s="103" t="str">
        <f t="shared" si="18"/>
        <v/>
      </c>
      <c r="Y30" s="98" t="str">
        <f t="shared" si="19"/>
        <v/>
      </c>
      <c r="Z30" s="9" t="str">
        <f t="shared" si="20"/>
        <v/>
      </c>
      <c r="AA30" s="9" t="str">
        <f t="shared" si="21"/>
        <v/>
      </c>
      <c r="AB30" s="9" t="str">
        <f t="shared" si="22"/>
        <v/>
      </c>
      <c r="AC30" s="84" t="str">
        <f t="shared" si="23"/>
        <v/>
      </c>
      <c r="AD30" s="169" t="str">
        <f t="shared" si="24"/>
        <v/>
      </c>
      <c r="AE30" s="112" t="str">
        <f t="shared" si="25"/>
        <v/>
      </c>
      <c r="AF30" s="170" t="str">
        <f t="shared" si="26"/>
        <v/>
      </c>
      <c r="AG30" s="146" t="str">
        <f t="shared" si="27"/>
        <v/>
      </c>
      <c r="AH30" s="55" t="str">
        <f t="shared" si="28"/>
        <v/>
      </c>
      <c r="AI30" s="43" t="str">
        <f t="shared" si="29"/>
        <v/>
      </c>
      <c r="AJ30" s="38"/>
      <c r="AR30">
        <v>25</v>
      </c>
      <c r="AS30" t="str">
        <f t="shared" si="34"/>
        <v/>
      </c>
      <c r="AT30" t="str">
        <f t="shared" si="35"/>
        <v/>
      </c>
    </row>
    <row r="31" spans="1:46">
      <c r="A31" t="e">
        <f>IF(OR(RIGHT('RHUMBLINE SAILING'!B34,1)="S",RIGHT('RHUMBLINE SAILING'!B34,1)="s"),-1,1)*(VALUE(LEFT('RHUMBLINE SAILING'!B34,FIND("° ",'RHUMBLINE SAILING'!B34,1)-1))+VALUE(MID('RHUMBLINE SAILING'!B34,(FIND("° ",'RHUMBLINE SAILING'!B34,1)+2),6))/60)</f>
        <v>#VALUE!</v>
      </c>
      <c r="B31" t="e">
        <f>IF(OR(RIGHT('RHUMBLINE SAILING'!C34,1)="W",RIGHT('RHUMBLINE SAILING'!C34,1)="w"),-1,1)*(VALUE(LEFT('RHUMBLINE SAILING'!C34,FIND("° ",'RHUMBLINE SAILING'!C34,1)-1))+VALUE(MID('RHUMBLINE SAILING'!C34,(FIND("° ",'RHUMBLINE SAILING'!C34,1)+2),6))/60)</f>
        <v>#VALUE!</v>
      </c>
      <c r="C31">
        <v>27</v>
      </c>
      <c r="D31" s="165" t="str">
        <f>IF('RHUMBLINE SAILING'!B34="","",IF($D$2=2,'RHUMBLINE SAILING'!B34,TRUNC(A31)*100+(A31-TRUNC(A31))*60))</f>
        <v/>
      </c>
      <c r="E31" s="166" t="str">
        <f>IF('RHUMBLINE SAILING'!C34="","",IF($D$2=2,'RHUMBLINE SAILING'!C34,TRUNC(B31)*100+(B31-TRUNC(B31))*60))</f>
        <v/>
      </c>
      <c r="F31" s="42" t="str">
        <f t="shared" si="0"/>
        <v/>
      </c>
      <c r="G31" s="33" t="str">
        <f t="shared" si="1"/>
        <v/>
      </c>
      <c r="H31" s="33" t="str">
        <f t="shared" si="2"/>
        <v/>
      </c>
      <c r="I31" s="33" t="str">
        <f t="shared" si="3"/>
        <v/>
      </c>
      <c r="J31" s="98" t="str">
        <f t="shared" si="4"/>
        <v/>
      </c>
      <c r="K31" s="33" t="str">
        <f t="shared" si="5"/>
        <v/>
      </c>
      <c r="L31" s="43" t="str">
        <f t="shared" si="6"/>
        <v/>
      </c>
      <c r="M31" s="98" t="str">
        <f t="shared" si="7"/>
        <v/>
      </c>
      <c r="N31" s="9" t="str">
        <f t="shared" si="8"/>
        <v/>
      </c>
      <c r="O31" s="9" t="str">
        <f t="shared" si="9"/>
        <v/>
      </c>
      <c r="P31" s="9" t="str">
        <f t="shared" si="10"/>
        <v/>
      </c>
      <c r="Q31" s="43" t="str">
        <f t="shared" si="11"/>
        <v/>
      </c>
      <c r="R31" s="98" t="str">
        <f t="shared" si="12"/>
        <v/>
      </c>
      <c r="S31" s="9" t="str">
        <f t="shared" si="13"/>
        <v/>
      </c>
      <c r="T31" s="9" t="str">
        <f t="shared" si="14"/>
        <v/>
      </c>
      <c r="U31" s="9" t="str">
        <f t="shared" si="15"/>
        <v/>
      </c>
      <c r="V31" s="84" t="str">
        <f t="shared" si="16"/>
        <v/>
      </c>
      <c r="W31" s="98" t="str">
        <f t="shared" si="17"/>
        <v/>
      </c>
      <c r="X31" s="103" t="str">
        <f t="shared" si="18"/>
        <v/>
      </c>
      <c r="Y31" s="98" t="str">
        <f t="shared" si="19"/>
        <v/>
      </c>
      <c r="Z31" s="9" t="str">
        <f t="shared" si="20"/>
        <v/>
      </c>
      <c r="AA31" s="9" t="str">
        <f t="shared" si="21"/>
        <v/>
      </c>
      <c r="AB31" s="9" t="str">
        <f t="shared" si="22"/>
        <v/>
      </c>
      <c r="AC31" s="84" t="str">
        <f t="shared" si="23"/>
        <v/>
      </c>
      <c r="AD31" s="169" t="str">
        <f t="shared" si="24"/>
        <v/>
      </c>
      <c r="AE31" s="112" t="str">
        <f t="shared" si="25"/>
        <v/>
      </c>
      <c r="AF31" s="170" t="str">
        <f t="shared" si="26"/>
        <v/>
      </c>
      <c r="AG31" s="146" t="str">
        <f t="shared" si="27"/>
        <v/>
      </c>
      <c r="AH31" s="55" t="str">
        <f t="shared" si="28"/>
        <v/>
      </c>
      <c r="AI31" s="43" t="str">
        <f t="shared" si="29"/>
        <v/>
      </c>
      <c r="AJ31" s="38"/>
      <c r="AR31">
        <v>26</v>
      </c>
      <c r="AS31" t="str">
        <f t="shared" si="34"/>
        <v/>
      </c>
      <c r="AT31" t="str">
        <f t="shared" si="35"/>
        <v/>
      </c>
    </row>
    <row r="32" spans="1:46">
      <c r="A32" t="e">
        <f>IF(OR(RIGHT('RHUMBLINE SAILING'!B35,1)="S",RIGHT('RHUMBLINE SAILING'!B35,1)="s"),-1,1)*(VALUE(LEFT('RHUMBLINE SAILING'!B35,FIND("° ",'RHUMBLINE SAILING'!B35,1)-1))+VALUE(MID('RHUMBLINE SAILING'!B35,(FIND("° ",'RHUMBLINE SAILING'!B35,1)+2),6))/60)</f>
        <v>#VALUE!</v>
      </c>
      <c r="B32" t="e">
        <f>IF(OR(RIGHT('RHUMBLINE SAILING'!C35,1)="W",RIGHT('RHUMBLINE SAILING'!C35,1)="w"),-1,1)*(VALUE(LEFT('RHUMBLINE SAILING'!C35,FIND("° ",'RHUMBLINE SAILING'!C35,1)-1))+VALUE(MID('RHUMBLINE SAILING'!C35,(FIND("° ",'RHUMBLINE SAILING'!C35,1)+2),6))/60)</f>
        <v>#VALUE!</v>
      </c>
      <c r="C32">
        <v>28</v>
      </c>
      <c r="D32" s="165" t="str">
        <f>IF('RHUMBLINE SAILING'!B35="","",IF($D$2=2,'RHUMBLINE SAILING'!B35,TRUNC(A32)*100+(A32-TRUNC(A32))*60))</f>
        <v/>
      </c>
      <c r="E32" s="166" t="str">
        <f>IF('RHUMBLINE SAILING'!C35="","",IF($D$2=2,'RHUMBLINE SAILING'!C35,TRUNC(B32)*100+(B32-TRUNC(B32))*60))</f>
        <v/>
      </c>
      <c r="F32" s="42" t="str">
        <f t="shared" si="0"/>
        <v/>
      </c>
      <c r="G32" s="33" t="str">
        <f t="shared" si="1"/>
        <v/>
      </c>
      <c r="H32" s="33" t="str">
        <f t="shared" si="2"/>
        <v/>
      </c>
      <c r="I32" s="33" t="str">
        <f t="shared" si="3"/>
        <v/>
      </c>
      <c r="J32" s="98" t="str">
        <f t="shared" si="4"/>
        <v/>
      </c>
      <c r="K32" s="33" t="str">
        <f t="shared" si="5"/>
        <v/>
      </c>
      <c r="L32" s="43" t="str">
        <f t="shared" si="6"/>
        <v/>
      </c>
      <c r="M32" s="98" t="str">
        <f t="shared" si="7"/>
        <v/>
      </c>
      <c r="N32" s="9" t="str">
        <f t="shared" si="8"/>
        <v/>
      </c>
      <c r="O32" s="9" t="str">
        <f t="shared" si="9"/>
        <v/>
      </c>
      <c r="P32" s="9" t="str">
        <f t="shared" si="10"/>
        <v/>
      </c>
      <c r="Q32" s="43" t="str">
        <f t="shared" si="11"/>
        <v/>
      </c>
      <c r="R32" s="98" t="str">
        <f t="shared" si="12"/>
        <v/>
      </c>
      <c r="S32" s="9" t="str">
        <f t="shared" si="13"/>
        <v/>
      </c>
      <c r="T32" s="9" t="str">
        <f t="shared" si="14"/>
        <v/>
      </c>
      <c r="U32" s="9" t="str">
        <f t="shared" si="15"/>
        <v/>
      </c>
      <c r="V32" s="84" t="str">
        <f t="shared" si="16"/>
        <v/>
      </c>
      <c r="W32" s="98" t="str">
        <f t="shared" si="17"/>
        <v/>
      </c>
      <c r="X32" s="103" t="str">
        <f t="shared" si="18"/>
        <v/>
      </c>
      <c r="Y32" s="98" t="str">
        <f t="shared" si="19"/>
        <v/>
      </c>
      <c r="Z32" s="9" t="str">
        <f t="shared" si="20"/>
        <v/>
      </c>
      <c r="AA32" s="9" t="str">
        <f t="shared" si="21"/>
        <v/>
      </c>
      <c r="AB32" s="9" t="str">
        <f t="shared" si="22"/>
        <v/>
      </c>
      <c r="AC32" s="84" t="str">
        <f t="shared" si="23"/>
        <v/>
      </c>
      <c r="AD32" s="169" t="str">
        <f t="shared" si="24"/>
        <v/>
      </c>
      <c r="AE32" s="112" t="str">
        <f t="shared" si="25"/>
        <v/>
      </c>
      <c r="AF32" s="170" t="str">
        <f t="shared" si="26"/>
        <v/>
      </c>
      <c r="AG32" s="146" t="str">
        <f t="shared" si="27"/>
        <v/>
      </c>
      <c r="AH32" s="55" t="str">
        <f t="shared" si="28"/>
        <v/>
      </c>
      <c r="AI32" s="43" t="str">
        <f t="shared" si="29"/>
        <v/>
      </c>
      <c r="AJ32" s="38"/>
      <c r="AR32">
        <v>27</v>
      </c>
      <c r="AS32" t="str">
        <f t="shared" si="34"/>
        <v/>
      </c>
      <c r="AT32" t="str">
        <f t="shared" si="35"/>
        <v/>
      </c>
    </row>
    <row r="33" spans="1:46">
      <c r="A33" t="e">
        <f>IF(OR(RIGHT('RHUMBLINE SAILING'!B36,1)="S",RIGHT('RHUMBLINE SAILING'!B36,1)="s"),-1,1)*(VALUE(LEFT('RHUMBLINE SAILING'!B36,FIND("° ",'RHUMBLINE SAILING'!B36,1)-1))+VALUE(MID('RHUMBLINE SAILING'!B36,(FIND("° ",'RHUMBLINE SAILING'!B36,1)+2),6))/60)</f>
        <v>#VALUE!</v>
      </c>
      <c r="B33" t="e">
        <f>IF(OR(RIGHT('RHUMBLINE SAILING'!C36,1)="W",RIGHT('RHUMBLINE SAILING'!C36,1)="w"),-1,1)*(VALUE(LEFT('RHUMBLINE SAILING'!C36,FIND("° ",'RHUMBLINE SAILING'!C36,1)-1))+VALUE(MID('RHUMBLINE SAILING'!C36,(FIND("° ",'RHUMBLINE SAILING'!C36,1)+2),6))/60)</f>
        <v>#VALUE!</v>
      </c>
      <c r="C33">
        <v>29</v>
      </c>
      <c r="D33" s="165" t="str">
        <f>IF('RHUMBLINE SAILING'!B36="","",IF($D$2=2,'RHUMBLINE SAILING'!B36,TRUNC(A33)*100+(A33-TRUNC(A33))*60))</f>
        <v/>
      </c>
      <c r="E33" s="166" t="str">
        <f>IF('RHUMBLINE SAILING'!C36="","",IF($D$2=2,'RHUMBLINE SAILING'!C36,TRUNC(B33)*100+(B33-TRUNC(B33))*60))</f>
        <v/>
      </c>
      <c r="F33" s="42" t="str">
        <f t="shared" si="0"/>
        <v/>
      </c>
      <c r="G33" s="33" t="str">
        <f t="shared" si="1"/>
        <v/>
      </c>
      <c r="H33" s="33" t="str">
        <f t="shared" si="2"/>
        <v/>
      </c>
      <c r="I33" s="33" t="str">
        <f t="shared" si="3"/>
        <v/>
      </c>
      <c r="J33" s="98" t="str">
        <f t="shared" si="4"/>
        <v/>
      </c>
      <c r="K33" s="33" t="str">
        <f t="shared" si="5"/>
        <v/>
      </c>
      <c r="L33" s="43" t="str">
        <f t="shared" si="6"/>
        <v/>
      </c>
      <c r="M33" s="98" t="str">
        <f t="shared" si="7"/>
        <v/>
      </c>
      <c r="N33" s="9" t="str">
        <f t="shared" si="8"/>
        <v/>
      </c>
      <c r="O33" s="9" t="str">
        <f t="shared" si="9"/>
        <v/>
      </c>
      <c r="P33" s="9" t="str">
        <f t="shared" si="10"/>
        <v/>
      </c>
      <c r="Q33" s="43" t="str">
        <f t="shared" si="11"/>
        <v/>
      </c>
      <c r="R33" s="98" t="str">
        <f t="shared" si="12"/>
        <v/>
      </c>
      <c r="S33" s="9" t="str">
        <f t="shared" si="13"/>
        <v/>
      </c>
      <c r="T33" s="9" t="str">
        <f t="shared" si="14"/>
        <v/>
      </c>
      <c r="U33" s="9" t="str">
        <f t="shared" si="15"/>
        <v/>
      </c>
      <c r="V33" s="84" t="str">
        <f t="shared" si="16"/>
        <v/>
      </c>
      <c r="W33" s="98" t="str">
        <f t="shared" si="17"/>
        <v/>
      </c>
      <c r="X33" s="103" t="str">
        <f t="shared" si="18"/>
        <v/>
      </c>
      <c r="Y33" s="98" t="str">
        <f t="shared" si="19"/>
        <v/>
      </c>
      <c r="Z33" s="9" t="str">
        <f t="shared" si="20"/>
        <v/>
      </c>
      <c r="AA33" s="9" t="str">
        <f t="shared" si="21"/>
        <v/>
      </c>
      <c r="AB33" s="9" t="str">
        <f t="shared" si="22"/>
        <v/>
      </c>
      <c r="AC33" s="84" t="str">
        <f t="shared" si="23"/>
        <v/>
      </c>
      <c r="AD33" s="169" t="str">
        <f t="shared" si="24"/>
        <v/>
      </c>
      <c r="AE33" s="112" t="str">
        <f t="shared" si="25"/>
        <v/>
      </c>
      <c r="AF33" s="170" t="str">
        <f t="shared" si="26"/>
        <v/>
      </c>
      <c r="AG33" s="146" t="str">
        <f t="shared" si="27"/>
        <v/>
      </c>
      <c r="AH33" s="55" t="str">
        <f t="shared" si="28"/>
        <v/>
      </c>
      <c r="AI33" s="43" t="str">
        <f t="shared" si="29"/>
        <v/>
      </c>
      <c r="AJ33" s="38"/>
      <c r="AR33">
        <v>28</v>
      </c>
      <c r="AS33" t="str">
        <f t="shared" si="34"/>
        <v/>
      </c>
      <c r="AT33" t="str">
        <f t="shared" si="35"/>
        <v/>
      </c>
    </row>
    <row r="34" spans="1:46">
      <c r="A34" t="e">
        <f>IF(OR(RIGHT('RHUMBLINE SAILING'!B37,1)="S",RIGHT('RHUMBLINE SAILING'!B37,1)="s"),-1,1)*(VALUE(LEFT('RHUMBLINE SAILING'!B37,FIND("° ",'RHUMBLINE SAILING'!B37,1)-1))+VALUE(MID('RHUMBLINE SAILING'!B37,(FIND("° ",'RHUMBLINE SAILING'!B37,1)+2),6))/60)</f>
        <v>#VALUE!</v>
      </c>
      <c r="B34" t="e">
        <f>IF(OR(RIGHT('RHUMBLINE SAILING'!C37,1)="W",RIGHT('RHUMBLINE SAILING'!C37,1)="w"),-1,1)*(VALUE(LEFT('RHUMBLINE SAILING'!C37,FIND("° ",'RHUMBLINE SAILING'!C37,1)-1))+VALUE(MID('RHUMBLINE SAILING'!C37,(FIND("° ",'RHUMBLINE SAILING'!C37,1)+2),6))/60)</f>
        <v>#VALUE!</v>
      </c>
      <c r="C34">
        <v>30</v>
      </c>
      <c r="D34" s="165" t="str">
        <f>IF('RHUMBLINE SAILING'!B37="","",IF($D$2=2,'RHUMBLINE SAILING'!B37,TRUNC(A34)*100+(A34-TRUNC(A34))*60))</f>
        <v/>
      </c>
      <c r="E34" s="166" t="str">
        <f>IF('RHUMBLINE SAILING'!C37="","",IF($D$2=2,'RHUMBLINE SAILING'!C37,TRUNC(B34)*100+(B34-TRUNC(B34))*60))</f>
        <v/>
      </c>
      <c r="F34" s="42" t="str">
        <f t="shared" si="0"/>
        <v/>
      </c>
      <c r="G34" s="33" t="str">
        <f t="shared" si="1"/>
        <v/>
      </c>
      <c r="H34" s="33" t="str">
        <f t="shared" si="2"/>
        <v/>
      </c>
      <c r="I34" s="33" t="str">
        <f t="shared" si="3"/>
        <v/>
      </c>
      <c r="J34" s="98" t="str">
        <f t="shared" si="4"/>
        <v/>
      </c>
      <c r="K34" s="33" t="str">
        <f t="shared" si="5"/>
        <v/>
      </c>
      <c r="L34" s="43" t="str">
        <f t="shared" si="6"/>
        <v/>
      </c>
      <c r="M34" s="98" t="str">
        <f t="shared" si="7"/>
        <v/>
      </c>
      <c r="N34" s="9" t="str">
        <f t="shared" si="8"/>
        <v/>
      </c>
      <c r="O34" s="9" t="str">
        <f t="shared" si="9"/>
        <v/>
      </c>
      <c r="P34" s="9" t="str">
        <f t="shared" si="10"/>
        <v/>
      </c>
      <c r="Q34" s="43" t="str">
        <f t="shared" si="11"/>
        <v/>
      </c>
      <c r="R34" s="98" t="str">
        <f t="shared" si="12"/>
        <v/>
      </c>
      <c r="S34" s="9" t="str">
        <f t="shared" si="13"/>
        <v/>
      </c>
      <c r="T34" s="9" t="str">
        <f t="shared" si="14"/>
        <v/>
      </c>
      <c r="U34" s="9" t="str">
        <f t="shared" si="15"/>
        <v/>
      </c>
      <c r="V34" s="84" t="str">
        <f t="shared" si="16"/>
        <v/>
      </c>
      <c r="W34" s="98" t="str">
        <f t="shared" si="17"/>
        <v/>
      </c>
      <c r="X34" s="103" t="str">
        <f t="shared" si="18"/>
        <v/>
      </c>
      <c r="Y34" s="98" t="str">
        <f t="shared" si="19"/>
        <v/>
      </c>
      <c r="Z34" s="9" t="str">
        <f t="shared" si="20"/>
        <v/>
      </c>
      <c r="AA34" s="9" t="str">
        <f t="shared" si="21"/>
        <v/>
      </c>
      <c r="AB34" s="9" t="str">
        <f t="shared" si="22"/>
        <v/>
      </c>
      <c r="AC34" s="84" t="str">
        <f t="shared" si="23"/>
        <v/>
      </c>
      <c r="AD34" s="169" t="str">
        <f t="shared" si="24"/>
        <v/>
      </c>
      <c r="AE34" s="112" t="str">
        <f t="shared" si="25"/>
        <v/>
      </c>
      <c r="AF34" s="170" t="str">
        <f t="shared" si="26"/>
        <v/>
      </c>
      <c r="AG34" s="146" t="str">
        <f t="shared" si="27"/>
        <v/>
      </c>
      <c r="AH34" s="55" t="str">
        <f t="shared" si="28"/>
        <v/>
      </c>
      <c r="AI34" s="43" t="str">
        <f t="shared" si="29"/>
        <v/>
      </c>
      <c r="AJ34" s="38"/>
      <c r="AR34">
        <v>29</v>
      </c>
      <c r="AS34" t="str">
        <f t="shared" si="34"/>
        <v/>
      </c>
      <c r="AT34" t="str">
        <f t="shared" si="35"/>
        <v/>
      </c>
    </row>
    <row r="35" spans="1:46">
      <c r="A35" t="e">
        <f>IF(OR(RIGHT('RHUMBLINE SAILING'!B38,1)="S",RIGHT('RHUMBLINE SAILING'!B38,1)="s"),-1,1)*(VALUE(LEFT('RHUMBLINE SAILING'!B38,FIND("° ",'RHUMBLINE SAILING'!B38,1)-1))+VALUE(MID('RHUMBLINE SAILING'!B38,(FIND("° ",'RHUMBLINE SAILING'!B38,1)+2),6))/60)</f>
        <v>#VALUE!</v>
      </c>
      <c r="B35" t="e">
        <f>IF(OR(RIGHT('RHUMBLINE SAILING'!C38,1)="W",RIGHT('RHUMBLINE SAILING'!C38,1)="w"),-1,1)*(VALUE(LEFT('RHUMBLINE SAILING'!C38,FIND("° ",'RHUMBLINE SAILING'!C38,1)-1))+VALUE(MID('RHUMBLINE SAILING'!C38,(FIND("° ",'RHUMBLINE SAILING'!C38,1)+2),6))/60)</f>
        <v>#VALUE!</v>
      </c>
      <c r="C35">
        <v>31</v>
      </c>
      <c r="D35" s="165" t="str">
        <f>IF('RHUMBLINE SAILING'!B38="","",IF($D$2=2,'RHUMBLINE SAILING'!B38,TRUNC(A35)*100+(A35-TRUNC(A35))*60))</f>
        <v/>
      </c>
      <c r="E35" s="166" t="str">
        <f>IF('RHUMBLINE SAILING'!C38="","",IF($D$2=2,'RHUMBLINE SAILING'!C38,TRUNC(B35)*100+(B35-TRUNC(B35))*60))</f>
        <v/>
      </c>
      <c r="F35" s="42" t="str">
        <f t="shared" si="0"/>
        <v/>
      </c>
      <c r="G35" s="33" t="str">
        <f t="shared" si="1"/>
        <v/>
      </c>
      <c r="H35" s="33" t="str">
        <f t="shared" si="2"/>
        <v/>
      </c>
      <c r="I35" s="33" t="str">
        <f t="shared" si="3"/>
        <v/>
      </c>
      <c r="J35" s="98" t="str">
        <f t="shared" si="4"/>
        <v/>
      </c>
      <c r="K35" s="33" t="str">
        <f t="shared" si="5"/>
        <v/>
      </c>
      <c r="L35" s="43" t="str">
        <f t="shared" si="6"/>
        <v/>
      </c>
      <c r="M35" s="98" t="str">
        <f t="shared" si="7"/>
        <v/>
      </c>
      <c r="N35" s="9" t="str">
        <f t="shared" si="8"/>
        <v/>
      </c>
      <c r="O35" s="9" t="str">
        <f t="shared" si="9"/>
        <v/>
      </c>
      <c r="P35" s="9" t="str">
        <f t="shared" si="10"/>
        <v/>
      </c>
      <c r="Q35" s="43" t="str">
        <f t="shared" si="11"/>
        <v/>
      </c>
      <c r="R35" s="98" t="str">
        <f t="shared" si="12"/>
        <v/>
      </c>
      <c r="S35" s="9" t="str">
        <f t="shared" si="13"/>
        <v/>
      </c>
      <c r="T35" s="9" t="str">
        <f t="shared" si="14"/>
        <v/>
      </c>
      <c r="U35" s="9" t="str">
        <f t="shared" si="15"/>
        <v/>
      </c>
      <c r="V35" s="84" t="str">
        <f t="shared" si="16"/>
        <v/>
      </c>
      <c r="W35" s="98" t="str">
        <f t="shared" si="17"/>
        <v/>
      </c>
      <c r="X35" s="103" t="str">
        <f t="shared" si="18"/>
        <v/>
      </c>
      <c r="Y35" s="98" t="str">
        <f t="shared" si="19"/>
        <v/>
      </c>
      <c r="Z35" s="9" t="str">
        <f t="shared" si="20"/>
        <v/>
      </c>
      <c r="AA35" s="9" t="str">
        <f t="shared" si="21"/>
        <v/>
      </c>
      <c r="AB35" s="9" t="str">
        <f t="shared" si="22"/>
        <v/>
      </c>
      <c r="AC35" s="84" t="str">
        <f t="shared" si="23"/>
        <v/>
      </c>
      <c r="AD35" s="169" t="str">
        <f t="shared" si="24"/>
        <v/>
      </c>
      <c r="AE35" s="112" t="str">
        <f t="shared" si="25"/>
        <v/>
      </c>
      <c r="AF35" s="170" t="str">
        <f t="shared" si="26"/>
        <v/>
      </c>
      <c r="AG35" s="146" t="str">
        <f t="shared" si="27"/>
        <v/>
      </c>
      <c r="AH35" s="55" t="str">
        <f t="shared" si="28"/>
        <v/>
      </c>
      <c r="AI35" s="43" t="str">
        <f t="shared" si="29"/>
        <v/>
      </c>
      <c r="AJ35" s="38"/>
      <c r="AR35">
        <v>30</v>
      </c>
      <c r="AS35" t="str">
        <f t="shared" si="34"/>
        <v/>
      </c>
      <c r="AT35" t="str">
        <f t="shared" si="35"/>
        <v/>
      </c>
    </row>
    <row r="36" spans="1:46">
      <c r="A36" t="e">
        <f>IF(OR(RIGHT('RHUMBLINE SAILING'!B39,1)="S",RIGHT('RHUMBLINE SAILING'!B39,1)="s"),-1,1)*(VALUE(LEFT('RHUMBLINE SAILING'!B39,FIND("° ",'RHUMBLINE SAILING'!B39,1)-1))+VALUE(MID('RHUMBLINE SAILING'!B39,(FIND("° ",'RHUMBLINE SAILING'!B39,1)+2),6))/60)</f>
        <v>#VALUE!</v>
      </c>
      <c r="B36" t="e">
        <f>IF(OR(RIGHT('RHUMBLINE SAILING'!C39,1)="W",RIGHT('RHUMBLINE SAILING'!C39,1)="w"),-1,1)*(VALUE(LEFT('RHUMBLINE SAILING'!C39,FIND("° ",'RHUMBLINE SAILING'!C39,1)-1))+VALUE(MID('RHUMBLINE SAILING'!C39,(FIND("° ",'RHUMBLINE SAILING'!C39,1)+2),6))/60)</f>
        <v>#VALUE!</v>
      </c>
      <c r="C36">
        <v>32</v>
      </c>
      <c r="D36" s="165" t="str">
        <f>IF('RHUMBLINE SAILING'!B39="","",IF($D$2=2,'RHUMBLINE SAILING'!B39,TRUNC(A36)*100+(A36-TRUNC(A36))*60))</f>
        <v/>
      </c>
      <c r="E36" s="166" t="str">
        <f>IF('RHUMBLINE SAILING'!C39="","",IF($D$2=2,'RHUMBLINE SAILING'!C39,TRUNC(B36)*100+(B36-TRUNC(B36))*60))</f>
        <v/>
      </c>
      <c r="F36" s="42" t="str">
        <f t="shared" si="0"/>
        <v/>
      </c>
      <c r="G36" s="33" t="str">
        <f t="shared" si="1"/>
        <v/>
      </c>
      <c r="H36" s="33" t="str">
        <f t="shared" si="2"/>
        <v/>
      </c>
      <c r="I36" s="33" t="str">
        <f t="shared" si="3"/>
        <v/>
      </c>
      <c r="J36" s="98" t="str">
        <f t="shared" si="4"/>
        <v/>
      </c>
      <c r="K36" s="33" t="str">
        <f t="shared" si="5"/>
        <v/>
      </c>
      <c r="L36" s="43" t="str">
        <f t="shared" si="6"/>
        <v/>
      </c>
      <c r="M36" s="98" t="str">
        <f t="shared" si="7"/>
        <v/>
      </c>
      <c r="N36" s="9" t="str">
        <f t="shared" si="8"/>
        <v/>
      </c>
      <c r="O36" s="9" t="str">
        <f t="shared" si="9"/>
        <v/>
      </c>
      <c r="P36" s="9" t="str">
        <f t="shared" si="10"/>
        <v/>
      </c>
      <c r="Q36" s="43" t="str">
        <f t="shared" si="11"/>
        <v/>
      </c>
      <c r="R36" s="98" t="str">
        <f t="shared" si="12"/>
        <v/>
      </c>
      <c r="S36" s="9" t="str">
        <f t="shared" si="13"/>
        <v/>
      </c>
      <c r="T36" s="9" t="str">
        <f t="shared" si="14"/>
        <v/>
      </c>
      <c r="U36" s="9" t="str">
        <f t="shared" si="15"/>
        <v/>
      </c>
      <c r="V36" s="84" t="str">
        <f t="shared" si="16"/>
        <v/>
      </c>
      <c r="W36" s="98" t="str">
        <f t="shared" si="17"/>
        <v/>
      </c>
      <c r="X36" s="103" t="str">
        <f t="shared" si="18"/>
        <v/>
      </c>
      <c r="Y36" s="98" t="str">
        <f t="shared" si="19"/>
        <v/>
      </c>
      <c r="Z36" s="9" t="str">
        <f t="shared" si="20"/>
        <v/>
      </c>
      <c r="AA36" s="9" t="str">
        <f t="shared" si="21"/>
        <v/>
      </c>
      <c r="AB36" s="9" t="str">
        <f t="shared" si="22"/>
        <v/>
      </c>
      <c r="AC36" s="84" t="str">
        <f t="shared" si="23"/>
        <v/>
      </c>
      <c r="AD36" s="169" t="str">
        <f t="shared" si="24"/>
        <v/>
      </c>
      <c r="AE36" s="112" t="str">
        <f t="shared" si="25"/>
        <v/>
      </c>
      <c r="AF36" s="170" t="str">
        <f t="shared" si="26"/>
        <v/>
      </c>
      <c r="AG36" s="146" t="str">
        <f t="shared" si="27"/>
        <v/>
      </c>
      <c r="AH36" s="55" t="str">
        <f t="shared" si="28"/>
        <v/>
      </c>
      <c r="AI36" s="43" t="str">
        <f t="shared" si="29"/>
        <v/>
      </c>
      <c r="AJ36" s="38"/>
      <c r="AR36">
        <v>31</v>
      </c>
      <c r="AS36" t="str">
        <f t="shared" si="34"/>
        <v/>
      </c>
      <c r="AT36" t="str">
        <f t="shared" si="35"/>
        <v/>
      </c>
    </row>
    <row r="37" spans="1:46">
      <c r="A37" t="e">
        <f>IF(OR(RIGHT('RHUMBLINE SAILING'!B40,1)="S",RIGHT('RHUMBLINE SAILING'!B40,1)="s"),-1,1)*(VALUE(LEFT('RHUMBLINE SAILING'!B40,FIND("° ",'RHUMBLINE SAILING'!B40,1)-1))+VALUE(MID('RHUMBLINE SAILING'!B40,(FIND("° ",'RHUMBLINE SAILING'!B40,1)+2),6))/60)</f>
        <v>#VALUE!</v>
      </c>
      <c r="B37" t="e">
        <f>IF(OR(RIGHT('RHUMBLINE SAILING'!C40,1)="W",RIGHT('RHUMBLINE SAILING'!C40,1)="w"),-1,1)*(VALUE(LEFT('RHUMBLINE SAILING'!C40,FIND("° ",'RHUMBLINE SAILING'!C40,1)-1))+VALUE(MID('RHUMBLINE SAILING'!C40,(FIND("° ",'RHUMBLINE SAILING'!C40,1)+2),6))/60)</f>
        <v>#VALUE!</v>
      </c>
      <c r="C37">
        <v>33</v>
      </c>
      <c r="D37" s="165" t="str">
        <f>IF('RHUMBLINE SAILING'!B40="","",IF($D$2=2,'RHUMBLINE SAILING'!B40,TRUNC(A37)*100+(A37-TRUNC(A37))*60))</f>
        <v/>
      </c>
      <c r="E37" s="166" t="str">
        <f>IF('RHUMBLINE SAILING'!C40="","",IF($D$2=2,'RHUMBLINE SAILING'!C40,TRUNC(B37)*100+(B37-TRUNC(B37))*60))</f>
        <v/>
      </c>
      <c r="F37" s="42" t="str">
        <f t="shared" si="0"/>
        <v/>
      </c>
      <c r="G37" s="33" t="str">
        <f t="shared" si="1"/>
        <v/>
      </c>
      <c r="H37" s="33" t="str">
        <f t="shared" si="2"/>
        <v/>
      </c>
      <c r="I37" s="33" t="str">
        <f t="shared" si="3"/>
        <v/>
      </c>
      <c r="J37" s="98" t="str">
        <f t="shared" si="4"/>
        <v/>
      </c>
      <c r="K37" s="33" t="str">
        <f t="shared" si="5"/>
        <v/>
      </c>
      <c r="L37" s="43" t="str">
        <f t="shared" si="6"/>
        <v/>
      </c>
      <c r="M37" s="98" t="str">
        <f t="shared" si="7"/>
        <v/>
      </c>
      <c r="N37" s="9" t="str">
        <f t="shared" si="8"/>
        <v/>
      </c>
      <c r="O37" s="9" t="str">
        <f t="shared" si="9"/>
        <v/>
      </c>
      <c r="P37" s="9" t="str">
        <f t="shared" si="10"/>
        <v/>
      </c>
      <c r="Q37" s="43" t="str">
        <f t="shared" si="11"/>
        <v/>
      </c>
      <c r="R37" s="98" t="str">
        <f t="shared" si="12"/>
        <v/>
      </c>
      <c r="S37" s="9" t="str">
        <f t="shared" si="13"/>
        <v/>
      </c>
      <c r="T37" s="9" t="str">
        <f t="shared" si="14"/>
        <v/>
      </c>
      <c r="U37" s="9" t="str">
        <f t="shared" si="15"/>
        <v/>
      </c>
      <c r="V37" s="84" t="str">
        <f t="shared" si="16"/>
        <v/>
      </c>
      <c r="W37" s="98" t="str">
        <f t="shared" si="17"/>
        <v/>
      </c>
      <c r="X37" s="103" t="str">
        <f t="shared" si="18"/>
        <v/>
      </c>
      <c r="Y37" s="98" t="str">
        <f t="shared" si="19"/>
        <v/>
      </c>
      <c r="Z37" s="9" t="str">
        <f t="shared" si="20"/>
        <v/>
      </c>
      <c r="AA37" s="9" t="str">
        <f t="shared" si="21"/>
        <v/>
      </c>
      <c r="AB37" s="9" t="str">
        <f t="shared" si="22"/>
        <v/>
      </c>
      <c r="AC37" s="84" t="str">
        <f t="shared" si="23"/>
        <v/>
      </c>
      <c r="AD37" s="169" t="str">
        <f t="shared" si="24"/>
        <v/>
      </c>
      <c r="AE37" s="112" t="str">
        <f t="shared" si="25"/>
        <v/>
      </c>
      <c r="AF37" s="170" t="str">
        <f t="shared" si="26"/>
        <v/>
      </c>
      <c r="AG37" s="146" t="str">
        <f t="shared" si="27"/>
        <v/>
      </c>
      <c r="AH37" s="55" t="str">
        <f t="shared" si="28"/>
        <v/>
      </c>
      <c r="AI37" s="43" t="str">
        <f t="shared" si="29"/>
        <v/>
      </c>
      <c r="AJ37" s="38"/>
      <c r="AR37">
        <v>32</v>
      </c>
      <c r="AS37" t="str">
        <f t="shared" si="34"/>
        <v/>
      </c>
      <c r="AT37" t="str">
        <f t="shared" si="35"/>
        <v/>
      </c>
    </row>
    <row r="38" spans="1:46">
      <c r="A38" t="e">
        <f>IF(OR(RIGHT('RHUMBLINE SAILING'!B41,1)="S",RIGHT('RHUMBLINE SAILING'!B41,1)="s"),-1,1)*(VALUE(LEFT('RHUMBLINE SAILING'!B41,FIND("° ",'RHUMBLINE SAILING'!B41,1)-1))+VALUE(MID('RHUMBLINE SAILING'!B41,(FIND("° ",'RHUMBLINE SAILING'!B41,1)+2),6))/60)</f>
        <v>#VALUE!</v>
      </c>
      <c r="B38" t="e">
        <f>IF(OR(RIGHT('RHUMBLINE SAILING'!C41,1)="W",RIGHT('RHUMBLINE SAILING'!C41,1)="w"),-1,1)*(VALUE(LEFT('RHUMBLINE SAILING'!C41,FIND("° ",'RHUMBLINE SAILING'!C41,1)-1))+VALUE(MID('RHUMBLINE SAILING'!C41,(FIND("° ",'RHUMBLINE SAILING'!C41,1)+2),6))/60)</f>
        <v>#VALUE!</v>
      </c>
      <c r="C38">
        <v>34</v>
      </c>
      <c r="D38" s="165" t="str">
        <f>IF('RHUMBLINE SAILING'!B41="","",IF($D$2=2,'RHUMBLINE SAILING'!B41,TRUNC(A38)*100+(A38-TRUNC(A38))*60))</f>
        <v/>
      </c>
      <c r="E38" s="166" t="str">
        <f>IF('RHUMBLINE SAILING'!C41="","",IF($D$2=2,'RHUMBLINE SAILING'!C41,TRUNC(B38)*100+(B38-TRUNC(B38))*60))</f>
        <v/>
      </c>
      <c r="F38" s="42" t="str">
        <f t="shared" si="0"/>
        <v/>
      </c>
      <c r="G38" s="33" t="str">
        <f t="shared" si="1"/>
        <v/>
      </c>
      <c r="H38" s="33" t="str">
        <f t="shared" si="2"/>
        <v/>
      </c>
      <c r="I38" s="33" t="str">
        <f t="shared" si="3"/>
        <v/>
      </c>
      <c r="J38" s="98" t="str">
        <f t="shared" si="4"/>
        <v/>
      </c>
      <c r="K38" s="33" t="str">
        <f t="shared" si="5"/>
        <v/>
      </c>
      <c r="L38" s="43" t="str">
        <f t="shared" si="6"/>
        <v/>
      </c>
      <c r="M38" s="98" t="str">
        <f t="shared" si="7"/>
        <v/>
      </c>
      <c r="N38" s="9" t="str">
        <f t="shared" si="8"/>
        <v/>
      </c>
      <c r="O38" s="9" t="str">
        <f t="shared" si="9"/>
        <v/>
      </c>
      <c r="P38" s="9" t="str">
        <f t="shared" si="10"/>
        <v/>
      </c>
      <c r="Q38" s="43" t="str">
        <f t="shared" si="11"/>
        <v/>
      </c>
      <c r="R38" s="98" t="str">
        <f t="shared" si="12"/>
        <v/>
      </c>
      <c r="S38" s="9" t="str">
        <f t="shared" si="13"/>
        <v/>
      </c>
      <c r="T38" s="9" t="str">
        <f t="shared" si="14"/>
        <v/>
      </c>
      <c r="U38" s="9" t="str">
        <f t="shared" si="15"/>
        <v/>
      </c>
      <c r="V38" s="84" t="str">
        <f t="shared" si="16"/>
        <v/>
      </c>
      <c r="W38" s="98" t="str">
        <f t="shared" si="17"/>
        <v/>
      </c>
      <c r="X38" s="103" t="str">
        <f t="shared" si="18"/>
        <v/>
      </c>
      <c r="Y38" s="98" t="str">
        <f t="shared" si="19"/>
        <v/>
      </c>
      <c r="Z38" s="9" t="str">
        <f t="shared" si="20"/>
        <v/>
      </c>
      <c r="AA38" s="9" t="str">
        <f t="shared" si="21"/>
        <v/>
      </c>
      <c r="AB38" s="9" t="str">
        <f t="shared" si="22"/>
        <v/>
      </c>
      <c r="AC38" s="84" t="str">
        <f t="shared" si="23"/>
        <v/>
      </c>
      <c r="AD38" s="169" t="str">
        <f t="shared" si="24"/>
        <v/>
      </c>
      <c r="AE38" s="112" t="str">
        <f t="shared" si="25"/>
        <v/>
      </c>
      <c r="AF38" s="170" t="str">
        <f t="shared" si="26"/>
        <v/>
      </c>
      <c r="AG38" s="146" t="str">
        <f t="shared" si="27"/>
        <v/>
      </c>
      <c r="AH38" s="55" t="str">
        <f t="shared" si="28"/>
        <v/>
      </c>
      <c r="AI38" s="43" t="str">
        <f t="shared" si="29"/>
        <v/>
      </c>
      <c r="AJ38" s="38"/>
      <c r="AR38">
        <v>33</v>
      </c>
      <c r="AS38" t="str">
        <f t="shared" si="34"/>
        <v/>
      </c>
      <c r="AT38" t="str">
        <f t="shared" si="35"/>
        <v/>
      </c>
    </row>
    <row r="39" spans="1:46">
      <c r="A39" t="e">
        <f>IF(OR(RIGHT('RHUMBLINE SAILING'!B42,1)="S",RIGHT('RHUMBLINE SAILING'!B42,1)="s"),-1,1)*(VALUE(LEFT('RHUMBLINE SAILING'!B42,FIND("° ",'RHUMBLINE SAILING'!B42,1)-1))+VALUE(MID('RHUMBLINE SAILING'!B42,(FIND("° ",'RHUMBLINE SAILING'!B42,1)+2),6))/60)</f>
        <v>#VALUE!</v>
      </c>
      <c r="B39" t="e">
        <f>IF(OR(RIGHT('RHUMBLINE SAILING'!C42,1)="W",RIGHT('RHUMBLINE SAILING'!C42,1)="w"),-1,1)*(VALUE(LEFT('RHUMBLINE SAILING'!C42,FIND("° ",'RHUMBLINE SAILING'!C42,1)-1))+VALUE(MID('RHUMBLINE SAILING'!C42,(FIND("° ",'RHUMBLINE SAILING'!C42,1)+2),6))/60)</f>
        <v>#VALUE!</v>
      </c>
      <c r="C39">
        <v>35</v>
      </c>
      <c r="D39" s="165" t="str">
        <f>IF('RHUMBLINE SAILING'!B42="","",IF($D$2=2,'RHUMBLINE SAILING'!B42,TRUNC(A39)*100+(A39-TRUNC(A39))*60))</f>
        <v/>
      </c>
      <c r="E39" s="166" t="str">
        <f>IF('RHUMBLINE SAILING'!C42="","",IF($D$2=2,'RHUMBLINE SAILING'!C42,TRUNC(B39)*100+(B39-TRUNC(B39))*60))</f>
        <v/>
      </c>
      <c r="F39" s="42" t="str">
        <f t="shared" si="0"/>
        <v/>
      </c>
      <c r="G39" s="33" t="str">
        <f t="shared" si="1"/>
        <v/>
      </c>
      <c r="H39" s="33" t="str">
        <f t="shared" si="2"/>
        <v/>
      </c>
      <c r="I39" s="33" t="str">
        <f t="shared" si="3"/>
        <v/>
      </c>
      <c r="J39" s="98" t="str">
        <f t="shared" si="4"/>
        <v/>
      </c>
      <c r="K39" s="33" t="str">
        <f t="shared" si="5"/>
        <v/>
      </c>
      <c r="L39" s="43" t="str">
        <f t="shared" si="6"/>
        <v/>
      </c>
      <c r="M39" s="98" t="str">
        <f t="shared" si="7"/>
        <v/>
      </c>
      <c r="N39" s="9" t="str">
        <f t="shared" si="8"/>
        <v/>
      </c>
      <c r="O39" s="9" t="str">
        <f t="shared" si="9"/>
        <v/>
      </c>
      <c r="P39" s="9" t="str">
        <f t="shared" si="10"/>
        <v/>
      </c>
      <c r="Q39" s="43" t="str">
        <f t="shared" si="11"/>
        <v/>
      </c>
      <c r="R39" s="98" t="str">
        <f t="shared" si="12"/>
        <v/>
      </c>
      <c r="S39" s="9" t="str">
        <f t="shared" si="13"/>
        <v/>
      </c>
      <c r="T39" s="9" t="str">
        <f t="shared" si="14"/>
        <v/>
      </c>
      <c r="U39" s="9" t="str">
        <f t="shared" si="15"/>
        <v/>
      </c>
      <c r="V39" s="84" t="str">
        <f t="shared" si="16"/>
        <v/>
      </c>
      <c r="W39" s="98" t="str">
        <f t="shared" si="17"/>
        <v/>
      </c>
      <c r="X39" s="103" t="str">
        <f t="shared" si="18"/>
        <v/>
      </c>
      <c r="Y39" s="98" t="str">
        <f t="shared" si="19"/>
        <v/>
      </c>
      <c r="Z39" s="9" t="str">
        <f t="shared" si="20"/>
        <v/>
      </c>
      <c r="AA39" s="9" t="str">
        <f t="shared" si="21"/>
        <v/>
      </c>
      <c r="AB39" s="9" t="str">
        <f t="shared" si="22"/>
        <v/>
      </c>
      <c r="AC39" s="84" t="str">
        <f t="shared" si="23"/>
        <v/>
      </c>
      <c r="AD39" s="169" t="str">
        <f t="shared" si="24"/>
        <v/>
      </c>
      <c r="AE39" s="112" t="str">
        <f t="shared" si="25"/>
        <v/>
      </c>
      <c r="AF39" s="170" t="str">
        <f t="shared" si="26"/>
        <v/>
      </c>
      <c r="AG39" s="146" t="str">
        <f t="shared" si="27"/>
        <v/>
      </c>
      <c r="AH39" s="55" t="str">
        <f t="shared" si="28"/>
        <v/>
      </c>
      <c r="AI39" s="43" t="str">
        <f t="shared" si="29"/>
        <v/>
      </c>
      <c r="AJ39" s="38"/>
      <c r="AR39">
        <v>34</v>
      </c>
      <c r="AS39" t="str">
        <f t="shared" si="34"/>
        <v/>
      </c>
      <c r="AT39" t="str">
        <f t="shared" si="35"/>
        <v/>
      </c>
    </row>
    <row r="40" spans="1:46">
      <c r="A40" t="e">
        <f>IF(OR(RIGHT('RHUMBLINE SAILING'!B43,1)="S",RIGHT('RHUMBLINE SAILING'!B43,1)="s"),-1,1)*(VALUE(LEFT('RHUMBLINE SAILING'!B43,FIND("° ",'RHUMBLINE SAILING'!B43,1)-1))+VALUE(MID('RHUMBLINE SAILING'!B43,(FIND("° ",'RHUMBLINE SAILING'!B43,1)+2),6))/60)</f>
        <v>#VALUE!</v>
      </c>
      <c r="B40" t="e">
        <f>IF(OR(RIGHT('RHUMBLINE SAILING'!C43,1)="W",RIGHT('RHUMBLINE SAILING'!C43,1)="w"),-1,1)*(VALUE(LEFT('RHUMBLINE SAILING'!C43,FIND("° ",'RHUMBLINE SAILING'!C43,1)-1))+VALUE(MID('RHUMBLINE SAILING'!C43,(FIND("° ",'RHUMBLINE SAILING'!C43,1)+2),6))/60)</f>
        <v>#VALUE!</v>
      </c>
      <c r="C40">
        <v>36</v>
      </c>
      <c r="D40" s="165" t="str">
        <f>IF('RHUMBLINE SAILING'!B43="","",IF($D$2=2,'RHUMBLINE SAILING'!B43,TRUNC(A40)*100+(A40-TRUNC(A40))*60))</f>
        <v/>
      </c>
      <c r="E40" s="166" t="str">
        <f>IF('RHUMBLINE SAILING'!C43="","",IF($D$2=2,'RHUMBLINE SAILING'!C43,TRUNC(B40)*100+(B40-TRUNC(B40))*60))</f>
        <v/>
      </c>
      <c r="F40" s="42" t="str">
        <f t="shared" si="0"/>
        <v/>
      </c>
      <c r="G40" s="33" t="str">
        <f t="shared" si="1"/>
        <v/>
      </c>
      <c r="H40" s="33" t="str">
        <f t="shared" si="2"/>
        <v/>
      </c>
      <c r="I40" s="33" t="str">
        <f t="shared" si="3"/>
        <v/>
      </c>
      <c r="J40" s="98" t="str">
        <f t="shared" si="4"/>
        <v/>
      </c>
      <c r="K40" s="33" t="str">
        <f t="shared" si="5"/>
        <v/>
      </c>
      <c r="L40" s="43" t="str">
        <f t="shared" si="6"/>
        <v/>
      </c>
      <c r="M40" s="98" t="str">
        <f t="shared" si="7"/>
        <v/>
      </c>
      <c r="N40" s="9" t="str">
        <f t="shared" si="8"/>
        <v/>
      </c>
      <c r="O40" s="9" t="str">
        <f t="shared" si="9"/>
        <v/>
      </c>
      <c r="P40" s="9" t="str">
        <f t="shared" si="10"/>
        <v/>
      </c>
      <c r="Q40" s="43" t="str">
        <f t="shared" si="11"/>
        <v/>
      </c>
      <c r="R40" s="98" t="str">
        <f t="shared" si="12"/>
        <v/>
      </c>
      <c r="S40" s="9" t="str">
        <f t="shared" si="13"/>
        <v/>
      </c>
      <c r="T40" s="9" t="str">
        <f t="shared" si="14"/>
        <v/>
      </c>
      <c r="U40" s="9" t="str">
        <f t="shared" si="15"/>
        <v/>
      </c>
      <c r="V40" s="84" t="str">
        <f t="shared" si="16"/>
        <v/>
      </c>
      <c r="W40" s="98" t="str">
        <f t="shared" si="17"/>
        <v/>
      </c>
      <c r="X40" s="103" t="str">
        <f t="shared" si="18"/>
        <v/>
      </c>
      <c r="Y40" s="98" t="str">
        <f t="shared" si="19"/>
        <v/>
      </c>
      <c r="Z40" s="9" t="str">
        <f t="shared" si="20"/>
        <v/>
      </c>
      <c r="AA40" s="9" t="str">
        <f t="shared" si="21"/>
        <v/>
      </c>
      <c r="AB40" s="9" t="str">
        <f t="shared" si="22"/>
        <v/>
      </c>
      <c r="AC40" s="84" t="str">
        <f t="shared" si="23"/>
        <v/>
      </c>
      <c r="AD40" s="169" t="str">
        <f t="shared" si="24"/>
        <v/>
      </c>
      <c r="AE40" s="112" t="str">
        <f t="shared" si="25"/>
        <v/>
      </c>
      <c r="AF40" s="170" t="str">
        <f t="shared" si="26"/>
        <v/>
      </c>
      <c r="AG40" s="146" t="str">
        <f t="shared" si="27"/>
        <v/>
      </c>
      <c r="AH40" s="55" t="str">
        <f t="shared" si="28"/>
        <v/>
      </c>
      <c r="AI40" s="43" t="str">
        <f t="shared" si="29"/>
        <v/>
      </c>
      <c r="AJ40" s="38"/>
      <c r="AR40">
        <v>35</v>
      </c>
      <c r="AS40" t="str">
        <f t="shared" si="34"/>
        <v/>
      </c>
      <c r="AT40" t="str">
        <f t="shared" si="35"/>
        <v/>
      </c>
    </row>
    <row r="41" spans="1:46">
      <c r="A41" t="e">
        <f>IF(OR(RIGHT('RHUMBLINE SAILING'!B44,1)="S",RIGHT('RHUMBLINE SAILING'!B44,1)="s"),-1,1)*(VALUE(LEFT('RHUMBLINE SAILING'!B44,FIND("° ",'RHUMBLINE SAILING'!B44,1)-1))+VALUE(MID('RHUMBLINE SAILING'!B44,(FIND("° ",'RHUMBLINE SAILING'!B44,1)+2),6))/60)</f>
        <v>#VALUE!</v>
      </c>
      <c r="B41" t="e">
        <f>IF(OR(RIGHT('RHUMBLINE SAILING'!C44,1)="W",RIGHT('RHUMBLINE SAILING'!C44,1)="w"),-1,1)*(VALUE(LEFT('RHUMBLINE SAILING'!C44,FIND("° ",'RHUMBLINE SAILING'!C44,1)-1))+VALUE(MID('RHUMBLINE SAILING'!C44,(FIND("° ",'RHUMBLINE SAILING'!C44,1)+2),6))/60)</f>
        <v>#VALUE!</v>
      </c>
      <c r="C41">
        <v>37</v>
      </c>
      <c r="D41" s="165" t="str">
        <f>IF('RHUMBLINE SAILING'!B44="","",IF($D$2=2,'RHUMBLINE SAILING'!B44,TRUNC(A41)*100+(A41-TRUNC(A41))*60))</f>
        <v/>
      </c>
      <c r="E41" s="166" t="str">
        <f>IF('RHUMBLINE SAILING'!C44="","",IF($D$2=2,'RHUMBLINE SAILING'!C44,TRUNC(B41)*100+(B41-TRUNC(B41))*60))</f>
        <v/>
      </c>
      <c r="F41" s="42" t="str">
        <f t="shared" si="0"/>
        <v/>
      </c>
      <c r="G41" s="33" t="str">
        <f t="shared" si="1"/>
        <v/>
      </c>
      <c r="H41" s="33" t="str">
        <f t="shared" si="2"/>
        <v/>
      </c>
      <c r="I41" s="33" t="str">
        <f t="shared" si="3"/>
        <v/>
      </c>
      <c r="J41" s="98" t="str">
        <f t="shared" si="4"/>
        <v/>
      </c>
      <c r="K41" s="33" t="str">
        <f t="shared" si="5"/>
        <v/>
      </c>
      <c r="L41" s="43" t="str">
        <f t="shared" si="6"/>
        <v/>
      </c>
      <c r="M41" s="98" t="str">
        <f t="shared" si="7"/>
        <v/>
      </c>
      <c r="N41" s="9" t="str">
        <f t="shared" si="8"/>
        <v/>
      </c>
      <c r="O41" s="9" t="str">
        <f t="shared" si="9"/>
        <v/>
      </c>
      <c r="P41" s="9" t="str">
        <f t="shared" si="10"/>
        <v/>
      </c>
      <c r="Q41" s="43" t="str">
        <f t="shared" si="11"/>
        <v/>
      </c>
      <c r="R41" s="98" t="str">
        <f t="shared" si="12"/>
        <v/>
      </c>
      <c r="S41" s="9" t="str">
        <f t="shared" si="13"/>
        <v/>
      </c>
      <c r="T41" s="9" t="str">
        <f t="shared" si="14"/>
        <v/>
      </c>
      <c r="U41" s="9" t="str">
        <f t="shared" si="15"/>
        <v/>
      </c>
      <c r="V41" s="84" t="str">
        <f t="shared" si="16"/>
        <v/>
      </c>
      <c r="W41" s="98" t="str">
        <f t="shared" si="17"/>
        <v/>
      </c>
      <c r="X41" s="103" t="str">
        <f t="shared" si="18"/>
        <v/>
      </c>
      <c r="Y41" s="98" t="str">
        <f t="shared" si="19"/>
        <v/>
      </c>
      <c r="Z41" s="9" t="str">
        <f t="shared" si="20"/>
        <v/>
      </c>
      <c r="AA41" s="9" t="str">
        <f t="shared" si="21"/>
        <v/>
      </c>
      <c r="AB41" s="9" t="str">
        <f t="shared" si="22"/>
        <v/>
      </c>
      <c r="AC41" s="84" t="str">
        <f t="shared" si="23"/>
        <v/>
      </c>
      <c r="AD41" s="169" t="str">
        <f t="shared" si="24"/>
        <v/>
      </c>
      <c r="AE41" s="112" t="str">
        <f t="shared" si="25"/>
        <v/>
      </c>
      <c r="AF41" s="170" t="str">
        <f t="shared" si="26"/>
        <v/>
      </c>
      <c r="AG41" s="146" t="str">
        <f t="shared" si="27"/>
        <v/>
      </c>
      <c r="AH41" s="55" t="str">
        <f t="shared" si="28"/>
        <v/>
      </c>
      <c r="AI41" s="43" t="str">
        <f t="shared" si="29"/>
        <v/>
      </c>
      <c r="AJ41" s="38"/>
      <c r="AR41">
        <v>36</v>
      </c>
      <c r="AS41" t="str">
        <f t="shared" si="34"/>
        <v/>
      </c>
      <c r="AT41" t="str">
        <f t="shared" si="35"/>
        <v/>
      </c>
    </row>
    <row r="42" spans="1:46">
      <c r="A42" t="e">
        <f>IF(OR(RIGHT('RHUMBLINE SAILING'!B45,1)="S",RIGHT('RHUMBLINE SAILING'!B45,1)="s"),-1,1)*(VALUE(LEFT('RHUMBLINE SAILING'!B45,FIND("° ",'RHUMBLINE SAILING'!B45,1)-1))+VALUE(MID('RHUMBLINE SAILING'!B45,(FIND("° ",'RHUMBLINE SAILING'!B45,1)+2),6))/60)</f>
        <v>#VALUE!</v>
      </c>
      <c r="B42" t="e">
        <f>IF(OR(RIGHT('RHUMBLINE SAILING'!C45,1)="W",RIGHT('RHUMBLINE SAILING'!C45,1)="w"),-1,1)*(VALUE(LEFT('RHUMBLINE SAILING'!C45,FIND("° ",'RHUMBLINE SAILING'!C45,1)-1))+VALUE(MID('RHUMBLINE SAILING'!C45,(FIND("° ",'RHUMBLINE SAILING'!C45,1)+2),6))/60)</f>
        <v>#VALUE!</v>
      </c>
      <c r="C42">
        <v>38</v>
      </c>
      <c r="D42" s="165" t="str">
        <f>IF('RHUMBLINE SAILING'!B45="","",IF($D$2=2,'RHUMBLINE SAILING'!B45,TRUNC(A42)*100+(A42-TRUNC(A42))*60))</f>
        <v/>
      </c>
      <c r="E42" s="166" t="str">
        <f>IF('RHUMBLINE SAILING'!C45="","",IF($D$2=2,'RHUMBLINE SAILING'!C45,TRUNC(B42)*100+(B42-TRUNC(B42))*60))</f>
        <v/>
      </c>
      <c r="F42" s="42" t="str">
        <f t="shared" si="0"/>
        <v/>
      </c>
      <c r="G42" s="33" t="str">
        <f t="shared" si="1"/>
        <v/>
      </c>
      <c r="H42" s="33" t="str">
        <f t="shared" si="2"/>
        <v/>
      </c>
      <c r="I42" s="33" t="str">
        <f t="shared" si="3"/>
        <v/>
      </c>
      <c r="J42" s="98" t="str">
        <f t="shared" si="4"/>
        <v/>
      </c>
      <c r="K42" s="33" t="str">
        <f t="shared" si="5"/>
        <v/>
      </c>
      <c r="L42" s="43" t="str">
        <f t="shared" si="6"/>
        <v/>
      </c>
      <c r="M42" s="98" t="str">
        <f t="shared" si="7"/>
        <v/>
      </c>
      <c r="N42" s="9" t="str">
        <f t="shared" si="8"/>
        <v/>
      </c>
      <c r="O42" s="9" t="str">
        <f t="shared" si="9"/>
        <v/>
      </c>
      <c r="P42" s="9" t="str">
        <f t="shared" si="10"/>
        <v/>
      </c>
      <c r="Q42" s="43" t="str">
        <f t="shared" si="11"/>
        <v/>
      </c>
      <c r="R42" s="98" t="str">
        <f t="shared" si="12"/>
        <v/>
      </c>
      <c r="S42" s="9" t="str">
        <f t="shared" si="13"/>
        <v/>
      </c>
      <c r="T42" s="9" t="str">
        <f t="shared" si="14"/>
        <v/>
      </c>
      <c r="U42" s="9" t="str">
        <f t="shared" si="15"/>
        <v/>
      </c>
      <c r="V42" s="84" t="str">
        <f t="shared" si="16"/>
        <v/>
      </c>
      <c r="W42" s="98" t="str">
        <f t="shared" si="17"/>
        <v/>
      </c>
      <c r="X42" s="103" t="str">
        <f t="shared" si="18"/>
        <v/>
      </c>
      <c r="Y42" s="98" t="str">
        <f t="shared" si="19"/>
        <v/>
      </c>
      <c r="Z42" s="9" t="str">
        <f t="shared" si="20"/>
        <v/>
      </c>
      <c r="AA42" s="9" t="str">
        <f t="shared" si="21"/>
        <v/>
      </c>
      <c r="AB42" s="9" t="str">
        <f t="shared" si="22"/>
        <v/>
      </c>
      <c r="AC42" s="84" t="str">
        <f t="shared" si="23"/>
        <v/>
      </c>
      <c r="AD42" s="169" t="str">
        <f t="shared" si="24"/>
        <v/>
      </c>
      <c r="AE42" s="112" t="str">
        <f t="shared" si="25"/>
        <v/>
      </c>
      <c r="AF42" s="170" t="str">
        <f t="shared" si="26"/>
        <v/>
      </c>
      <c r="AG42" s="146" t="str">
        <f t="shared" si="27"/>
        <v/>
      </c>
      <c r="AH42" s="55" t="str">
        <f t="shared" si="28"/>
        <v/>
      </c>
      <c r="AI42" s="43" t="str">
        <f t="shared" si="29"/>
        <v/>
      </c>
      <c r="AJ42" s="38"/>
      <c r="AR42">
        <v>37</v>
      </c>
      <c r="AS42" t="str">
        <f t="shared" si="34"/>
        <v/>
      </c>
      <c r="AT42" t="str">
        <f t="shared" si="35"/>
        <v/>
      </c>
    </row>
    <row r="43" spans="1:46">
      <c r="A43" t="e">
        <f>IF(OR(RIGHT('RHUMBLINE SAILING'!B46,1)="S",RIGHT('RHUMBLINE SAILING'!B46,1)="s"),-1,1)*(VALUE(LEFT('RHUMBLINE SAILING'!B46,FIND("° ",'RHUMBLINE SAILING'!B46,1)-1))+VALUE(MID('RHUMBLINE SAILING'!B46,(FIND("° ",'RHUMBLINE SAILING'!B46,1)+2),6))/60)</f>
        <v>#VALUE!</v>
      </c>
      <c r="B43" t="e">
        <f>IF(OR(RIGHT('RHUMBLINE SAILING'!C46,1)="W",RIGHT('RHUMBLINE SAILING'!C46,1)="w"),-1,1)*(VALUE(LEFT('RHUMBLINE SAILING'!C46,FIND("° ",'RHUMBLINE SAILING'!C46,1)-1))+VALUE(MID('RHUMBLINE SAILING'!C46,(FIND("° ",'RHUMBLINE SAILING'!C46,1)+2),6))/60)</f>
        <v>#VALUE!</v>
      </c>
      <c r="C43">
        <v>39</v>
      </c>
      <c r="D43" s="165" t="str">
        <f>IF('RHUMBLINE SAILING'!B46="","",IF($D$2=2,'RHUMBLINE SAILING'!B46,TRUNC(A43)*100+(A43-TRUNC(A43))*60))</f>
        <v/>
      </c>
      <c r="E43" s="166" t="str">
        <f>IF('RHUMBLINE SAILING'!C46="","",IF($D$2=2,'RHUMBLINE SAILING'!C46,TRUNC(B43)*100+(B43-TRUNC(B43))*60))</f>
        <v/>
      </c>
      <c r="F43" s="42" t="str">
        <f t="shared" si="0"/>
        <v/>
      </c>
      <c r="G43" s="33" t="str">
        <f t="shared" si="1"/>
        <v/>
      </c>
      <c r="H43" s="33" t="str">
        <f t="shared" si="2"/>
        <v/>
      </c>
      <c r="I43" s="33" t="str">
        <f t="shared" si="3"/>
        <v/>
      </c>
      <c r="J43" s="98" t="str">
        <f t="shared" si="4"/>
        <v/>
      </c>
      <c r="K43" s="33" t="str">
        <f t="shared" si="5"/>
        <v/>
      </c>
      <c r="L43" s="43" t="str">
        <f t="shared" si="6"/>
        <v/>
      </c>
      <c r="M43" s="98" t="str">
        <f t="shared" si="7"/>
        <v/>
      </c>
      <c r="N43" s="9" t="str">
        <f t="shared" si="8"/>
        <v/>
      </c>
      <c r="O43" s="9" t="str">
        <f t="shared" si="9"/>
        <v/>
      </c>
      <c r="P43" s="9" t="str">
        <f t="shared" si="10"/>
        <v/>
      </c>
      <c r="Q43" s="43" t="str">
        <f t="shared" si="11"/>
        <v/>
      </c>
      <c r="R43" s="98" t="str">
        <f t="shared" si="12"/>
        <v/>
      </c>
      <c r="S43" s="9" t="str">
        <f t="shared" si="13"/>
        <v/>
      </c>
      <c r="T43" s="9" t="str">
        <f t="shared" si="14"/>
        <v/>
      </c>
      <c r="U43" s="9" t="str">
        <f t="shared" si="15"/>
        <v/>
      </c>
      <c r="V43" s="84" t="str">
        <f t="shared" si="16"/>
        <v/>
      </c>
      <c r="W43" s="98" t="str">
        <f t="shared" si="17"/>
        <v/>
      </c>
      <c r="X43" s="103" t="str">
        <f t="shared" si="18"/>
        <v/>
      </c>
      <c r="Y43" s="98" t="str">
        <f t="shared" si="19"/>
        <v/>
      </c>
      <c r="Z43" s="9" t="str">
        <f t="shared" si="20"/>
        <v/>
      </c>
      <c r="AA43" s="9" t="str">
        <f t="shared" si="21"/>
        <v/>
      </c>
      <c r="AB43" s="9" t="str">
        <f t="shared" si="22"/>
        <v/>
      </c>
      <c r="AC43" s="84" t="str">
        <f t="shared" si="23"/>
        <v/>
      </c>
      <c r="AD43" s="169" t="str">
        <f t="shared" si="24"/>
        <v/>
      </c>
      <c r="AE43" s="112" t="str">
        <f t="shared" si="25"/>
        <v/>
      </c>
      <c r="AF43" s="170" t="str">
        <f t="shared" si="26"/>
        <v/>
      </c>
      <c r="AG43" s="146" t="str">
        <f t="shared" si="27"/>
        <v/>
      </c>
      <c r="AH43" s="55" t="str">
        <f t="shared" si="28"/>
        <v/>
      </c>
      <c r="AI43" s="43" t="str">
        <f t="shared" si="29"/>
        <v/>
      </c>
      <c r="AJ43" s="38"/>
      <c r="AR43">
        <v>38</v>
      </c>
      <c r="AS43" t="str">
        <f t="shared" si="34"/>
        <v/>
      </c>
      <c r="AT43" t="str">
        <f t="shared" si="35"/>
        <v/>
      </c>
    </row>
    <row r="44" spans="1:46">
      <c r="A44" t="e">
        <f>IF(OR(RIGHT('RHUMBLINE SAILING'!B47,1)="S",RIGHT('RHUMBLINE SAILING'!B47,1)="s"),-1,1)*(VALUE(LEFT('RHUMBLINE SAILING'!B47,FIND("° ",'RHUMBLINE SAILING'!B47,1)-1))+VALUE(MID('RHUMBLINE SAILING'!B47,(FIND("° ",'RHUMBLINE SAILING'!B47,1)+2),6))/60)</f>
        <v>#VALUE!</v>
      </c>
      <c r="B44" t="e">
        <f>IF(OR(RIGHT('RHUMBLINE SAILING'!C47,1)="W",RIGHT('RHUMBLINE SAILING'!C47,1)="w"),-1,1)*(VALUE(LEFT('RHUMBLINE SAILING'!C47,FIND("° ",'RHUMBLINE SAILING'!C47,1)-1))+VALUE(MID('RHUMBLINE SAILING'!C47,(FIND("° ",'RHUMBLINE SAILING'!C47,1)+2),6))/60)</f>
        <v>#VALUE!</v>
      </c>
      <c r="C44">
        <v>40</v>
      </c>
      <c r="D44" s="165" t="str">
        <f>IF('RHUMBLINE SAILING'!B47="","",IF($D$2=2,'RHUMBLINE SAILING'!B47,TRUNC(A44)*100+(A44-TRUNC(A44))*60))</f>
        <v/>
      </c>
      <c r="E44" s="166" t="str">
        <f>IF('RHUMBLINE SAILING'!C47="","",IF($D$2=2,'RHUMBLINE SAILING'!C47,TRUNC(B44)*100+(B44-TRUNC(B44))*60))</f>
        <v/>
      </c>
      <c r="F44" s="42" t="str">
        <f t="shared" si="0"/>
        <v/>
      </c>
      <c r="G44" s="33" t="str">
        <f t="shared" si="1"/>
        <v/>
      </c>
      <c r="H44" s="33" t="str">
        <f t="shared" si="2"/>
        <v/>
      </c>
      <c r="I44" s="33" t="str">
        <f t="shared" si="3"/>
        <v/>
      </c>
      <c r="J44" s="98" t="str">
        <f t="shared" si="4"/>
        <v/>
      </c>
      <c r="K44" s="33" t="str">
        <f t="shared" si="5"/>
        <v/>
      </c>
      <c r="L44" s="43" t="str">
        <f t="shared" si="6"/>
        <v/>
      </c>
      <c r="M44" s="98" t="str">
        <f t="shared" si="7"/>
        <v/>
      </c>
      <c r="N44" s="9" t="str">
        <f t="shared" si="8"/>
        <v/>
      </c>
      <c r="O44" s="9" t="str">
        <f t="shared" si="9"/>
        <v/>
      </c>
      <c r="P44" s="9" t="str">
        <f t="shared" si="10"/>
        <v/>
      </c>
      <c r="Q44" s="43" t="str">
        <f t="shared" si="11"/>
        <v/>
      </c>
      <c r="R44" s="98" t="str">
        <f t="shared" si="12"/>
        <v/>
      </c>
      <c r="S44" s="9" t="str">
        <f t="shared" si="13"/>
        <v/>
      </c>
      <c r="T44" s="9" t="str">
        <f t="shared" si="14"/>
        <v/>
      </c>
      <c r="U44" s="9" t="str">
        <f t="shared" si="15"/>
        <v/>
      </c>
      <c r="V44" s="84" t="str">
        <f t="shared" si="16"/>
        <v/>
      </c>
      <c r="W44" s="98" t="str">
        <f t="shared" si="17"/>
        <v/>
      </c>
      <c r="X44" s="103" t="str">
        <f t="shared" si="18"/>
        <v/>
      </c>
      <c r="Y44" s="98" t="str">
        <f t="shared" si="19"/>
        <v/>
      </c>
      <c r="Z44" s="9" t="str">
        <f t="shared" si="20"/>
        <v/>
      </c>
      <c r="AA44" s="9" t="str">
        <f t="shared" si="21"/>
        <v/>
      </c>
      <c r="AB44" s="9" t="str">
        <f t="shared" si="22"/>
        <v/>
      </c>
      <c r="AC44" s="84" t="str">
        <f t="shared" si="23"/>
        <v/>
      </c>
      <c r="AD44" s="169" t="str">
        <f t="shared" si="24"/>
        <v/>
      </c>
      <c r="AE44" s="112" t="str">
        <f t="shared" si="25"/>
        <v/>
      </c>
      <c r="AF44" s="170" t="str">
        <f t="shared" si="26"/>
        <v/>
      </c>
      <c r="AG44" s="146" t="str">
        <f t="shared" si="27"/>
        <v/>
      </c>
      <c r="AH44" s="55" t="str">
        <f t="shared" si="28"/>
        <v/>
      </c>
      <c r="AI44" s="43" t="str">
        <f t="shared" si="29"/>
        <v/>
      </c>
      <c r="AJ44" s="38"/>
      <c r="AR44">
        <v>39</v>
      </c>
      <c r="AS44" t="str">
        <f t="shared" si="34"/>
        <v/>
      </c>
      <c r="AT44" t="str">
        <f t="shared" si="35"/>
        <v/>
      </c>
    </row>
    <row r="45" spans="1:46">
      <c r="A45" t="e">
        <f>IF(OR(RIGHT('RHUMBLINE SAILING'!B48,1)="S",RIGHT('RHUMBLINE SAILING'!B48,1)="s"),-1,1)*(VALUE(LEFT('RHUMBLINE SAILING'!B48,FIND("° ",'RHUMBLINE SAILING'!B48,1)-1))+VALUE(MID('RHUMBLINE SAILING'!B48,(FIND("° ",'RHUMBLINE SAILING'!B48,1)+2),6))/60)</f>
        <v>#VALUE!</v>
      </c>
      <c r="B45" t="e">
        <f>IF(OR(RIGHT('RHUMBLINE SAILING'!C48,1)="W",RIGHT('RHUMBLINE SAILING'!C48,1)="w"),-1,1)*(VALUE(LEFT('RHUMBLINE SAILING'!C48,FIND("° ",'RHUMBLINE SAILING'!C48,1)-1))+VALUE(MID('RHUMBLINE SAILING'!C48,(FIND("° ",'RHUMBLINE SAILING'!C48,1)+2),6))/60)</f>
        <v>#VALUE!</v>
      </c>
      <c r="C45">
        <v>41</v>
      </c>
      <c r="D45" s="165" t="str">
        <f>IF('RHUMBLINE SAILING'!B48="","",IF($D$2=2,'RHUMBLINE SAILING'!B48,TRUNC(A45)*100+(A45-TRUNC(A45))*60))</f>
        <v/>
      </c>
      <c r="E45" s="166" t="str">
        <f>IF('RHUMBLINE SAILING'!C48="","",IF($D$2=2,'RHUMBLINE SAILING'!C48,TRUNC(B45)*100+(B45-TRUNC(B45))*60))</f>
        <v/>
      </c>
      <c r="F45" s="42" t="str">
        <f t="shared" si="0"/>
        <v/>
      </c>
      <c r="G45" s="33" t="str">
        <f t="shared" si="1"/>
        <v/>
      </c>
      <c r="H45" s="33" t="str">
        <f t="shared" si="2"/>
        <v/>
      </c>
      <c r="I45" s="33" t="str">
        <f t="shared" si="3"/>
        <v/>
      </c>
      <c r="J45" s="98" t="str">
        <f t="shared" si="4"/>
        <v/>
      </c>
      <c r="K45" s="33" t="str">
        <f t="shared" si="5"/>
        <v/>
      </c>
      <c r="L45" s="43" t="str">
        <f t="shared" si="6"/>
        <v/>
      </c>
      <c r="M45" s="98" t="str">
        <f t="shared" si="7"/>
        <v/>
      </c>
      <c r="N45" s="9" t="str">
        <f t="shared" si="8"/>
        <v/>
      </c>
      <c r="O45" s="9" t="str">
        <f t="shared" si="9"/>
        <v/>
      </c>
      <c r="P45" s="9" t="str">
        <f t="shared" si="10"/>
        <v/>
      </c>
      <c r="Q45" s="43" t="str">
        <f t="shared" si="11"/>
        <v/>
      </c>
      <c r="R45" s="98" t="str">
        <f t="shared" si="12"/>
        <v/>
      </c>
      <c r="S45" s="9" t="str">
        <f t="shared" si="13"/>
        <v/>
      </c>
      <c r="T45" s="9" t="str">
        <f t="shared" si="14"/>
        <v/>
      </c>
      <c r="U45" s="9" t="str">
        <f t="shared" si="15"/>
        <v/>
      </c>
      <c r="V45" s="84" t="str">
        <f t="shared" si="16"/>
        <v/>
      </c>
      <c r="W45" s="98" t="str">
        <f t="shared" si="17"/>
        <v/>
      </c>
      <c r="X45" s="103" t="str">
        <f t="shared" si="18"/>
        <v/>
      </c>
      <c r="Y45" s="98" t="str">
        <f t="shared" si="19"/>
        <v/>
      </c>
      <c r="Z45" s="9" t="str">
        <f t="shared" si="20"/>
        <v/>
      </c>
      <c r="AA45" s="9" t="str">
        <f t="shared" si="21"/>
        <v/>
      </c>
      <c r="AB45" s="9" t="str">
        <f t="shared" si="22"/>
        <v/>
      </c>
      <c r="AC45" s="84" t="str">
        <f t="shared" si="23"/>
        <v/>
      </c>
      <c r="AD45" s="169" t="str">
        <f t="shared" si="24"/>
        <v/>
      </c>
      <c r="AE45" s="112" t="str">
        <f t="shared" si="25"/>
        <v/>
      </c>
      <c r="AF45" s="170" t="str">
        <f t="shared" si="26"/>
        <v/>
      </c>
      <c r="AG45" s="146" t="str">
        <f t="shared" si="27"/>
        <v/>
      </c>
      <c r="AH45" s="55" t="str">
        <f t="shared" si="28"/>
        <v/>
      </c>
      <c r="AI45" s="43" t="str">
        <f t="shared" si="29"/>
        <v/>
      </c>
      <c r="AJ45" s="38"/>
      <c r="AR45">
        <v>40</v>
      </c>
      <c r="AS45" t="str">
        <f t="shared" si="34"/>
        <v/>
      </c>
      <c r="AT45" t="str">
        <f t="shared" si="35"/>
        <v/>
      </c>
    </row>
    <row r="46" spans="1:46">
      <c r="A46" t="e">
        <f>IF(OR(RIGHT('RHUMBLINE SAILING'!B49,1)="S",RIGHT('RHUMBLINE SAILING'!B49,1)="s"),-1,1)*(VALUE(LEFT('RHUMBLINE SAILING'!B49,FIND("° ",'RHUMBLINE SAILING'!B49,1)-1))+VALUE(MID('RHUMBLINE SAILING'!B49,(FIND("° ",'RHUMBLINE SAILING'!B49,1)+2),6))/60)</f>
        <v>#VALUE!</v>
      </c>
      <c r="B46" t="e">
        <f>IF(OR(RIGHT('RHUMBLINE SAILING'!C49,1)="W",RIGHT('RHUMBLINE SAILING'!C49,1)="w"),-1,1)*(VALUE(LEFT('RHUMBLINE SAILING'!C49,FIND("° ",'RHUMBLINE SAILING'!C49,1)-1))+VALUE(MID('RHUMBLINE SAILING'!C49,(FIND("° ",'RHUMBLINE SAILING'!C49,1)+2),6))/60)</f>
        <v>#VALUE!</v>
      </c>
      <c r="C46">
        <v>42</v>
      </c>
      <c r="D46" s="165" t="str">
        <f>IF('RHUMBLINE SAILING'!B49="","",IF($D$2=2,'RHUMBLINE SAILING'!B49,TRUNC(A46)*100+(A46-TRUNC(A46))*60))</f>
        <v/>
      </c>
      <c r="E46" s="166" t="str">
        <f>IF('RHUMBLINE SAILING'!C49="","",IF($D$2=2,'RHUMBLINE SAILING'!C49,TRUNC(B46)*100+(B46-TRUNC(B46))*60))</f>
        <v/>
      </c>
      <c r="F46" s="42" t="str">
        <f t="shared" si="0"/>
        <v/>
      </c>
      <c r="G46" s="33" t="str">
        <f t="shared" si="1"/>
        <v/>
      </c>
      <c r="H46" s="33" t="str">
        <f t="shared" si="2"/>
        <v/>
      </c>
      <c r="I46" s="33" t="str">
        <f t="shared" si="3"/>
        <v/>
      </c>
      <c r="J46" s="98" t="str">
        <f t="shared" si="4"/>
        <v/>
      </c>
      <c r="K46" s="33" t="str">
        <f t="shared" si="5"/>
        <v/>
      </c>
      <c r="L46" s="43" t="str">
        <f t="shared" si="6"/>
        <v/>
      </c>
      <c r="M46" s="98" t="str">
        <f t="shared" si="7"/>
        <v/>
      </c>
      <c r="N46" s="9" t="str">
        <f t="shared" si="8"/>
        <v/>
      </c>
      <c r="O46" s="9" t="str">
        <f t="shared" si="9"/>
        <v/>
      </c>
      <c r="P46" s="9" t="str">
        <f t="shared" si="10"/>
        <v/>
      </c>
      <c r="Q46" s="43" t="str">
        <f t="shared" si="11"/>
        <v/>
      </c>
      <c r="R46" s="98" t="str">
        <f t="shared" si="12"/>
        <v/>
      </c>
      <c r="S46" s="9" t="str">
        <f t="shared" si="13"/>
        <v/>
      </c>
      <c r="T46" s="9" t="str">
        <f t="shared" si="14"/>
        <v/>
      </c>
      <c r="U46" s="9" t="str">
        <f t="shared" si="15"/>
        <v/>
      </c>
      <c r="V46" s="84" t="str">
        <f t="shared" si="16"/>
        <v/>
      </c>
      <c r="W46" s="98" t="str">
        <f t="shared" si="17"/>
        <v/>
      </c>
      <c r="X46" s="103" t="str">
        <f t="shared" si="18"/>
        <v/>
      </c>
      <c r="Y46" s="98" t="str">
        <f t="shared" si="19"/>
        <v/>
      </c>
      <c r="Z46" s="9" t="str">
        <f t="shared" si="20"/>
        <v/>
      </c>
      <c r="AA46" s="9" t="str">
        <f t="shared" si="21"/>
        <v/>
      </c>
      <c r="AB46" s="9" t="str">
        <f t="shared" si="22"/>
        <v/>
      </c>
      <c r="AC46" s="84" t="str">
        <f t="shared" si="23"/>
        <v/>
      </c>
      <c r="AD46" s="169" t="str">
        <f t="shared" si="24"/>
        <v/>
      </c>
      <c r="AE46" s="112" t="str">
        <f t="shared" si="25"/>
        <v/>
      </c>
      <c r="AF46" s="170" t="str">
        <f t="shared" si="26"/>
        <v/>
      </c>
      <c r="AG46" s="146" t="str">
        <f t="shared" si="27"/>
        <v/>
      </c>
      <c r="AH46" s="55" t="str">
        <f t="shared" si="28"/>
        <v/>
      </c>
      <c r="AI46" s="43" t="str">
        <f t="shared" si="29"/>
        <v/>
      </c>
      <c r="AJ46" s="38"/>
      <c r="AR46">
        <v>41</v>
      </c>
      <c r="AS46" t="str">
        <f t="shared" si="34"/>
        <v/>
      </c>
      <c r="AT46" t="str">
        <f t="shared" si="35"/>
        <v/>
      </c>
    </row>
    <row r="47" spans="1:46">
      <c r="A47" t="e">
        <f>IF(OR(RIGHT('RHUMBLINE SAILING'!B50,1)="S",RIGHT('RHUMBLINE SAILING'!B50,1)="s"),-1,1)*(VALUE(LEFT('RHUMBLINE SAILING'!B50,FIND("° ",'RHUMBLINE SAILING'!B50,1)-1))+VALUE(MID('RHUMBLINE SAILING'!B50,(FIND("° ",'RHUMBLINE SAILING'!B50,1)+2),6))/60)</f>
        <v>#VALUE!</v>
      </c>
      <c r="B47" t="e">
        <f>IF(OR(RIGHT('RHUMBLINE SAILING'!C50,1)="W",RIGHT('RHUMBLINE SAILING'!C50,1)="w"),-1,1)*(VALUE(LEFT('RHUMBLINE SAILING'!C50,FIND("° ",'RHUMBLINE SAILING'!C50,1)-1))+VALUE(MID('RHUMBLINE SAILING'!C50,(FIND("° ",'RHUMBLINE SAILING'!C50,1)+2),6))/60)</f>
        <v>#VALUE!</v>
      </c>
      <c r="C47">
        <v>43</v>
      </c>
      <c r="D47" s="165" t="str">
        <f>IF('RHUMBLINE SAILING'!B50="","",IF($D$2=2,'RHUMBLINE SAILING'!B50,TRUNC(A47)*100+(A47-TRUNC(A47))*60))</f>
        <v/>
      </c>
      <c r="E47" s="166" t="str">
        <f>IF('RHUMBLINE SAILING'!C50="","",IF($D$2=2,'RHUMBLINE SAILING'!C50,TRUNC(B47)*100+(B47-TRUNC(B47))*60))</f>
        <v/>
      </c>
      <c r="F47" s="42" t="str">
        <f t="shared" si="0"/>
        <v/>
      </c>
      <c r="G47" s="33" t="str">
        <f t="shared" si="1"/>
        <v/>
      </c>
      <c r="H47" s="33" t="str">
        <f t="shared" si="2"/>
        <v/>
      </c>
      <c r="I47" s="33" t="str">
        <f t="shared" si="3"/>
        <v/>
      </c>
      <c r="J47" s="98" t="str">
        <f t="shared" si="4"/>
        <v/>
      </c>
      <c r="K47" s="33" t="str">
        <f t="shared" si="5"/>
        <v/>
      </c>
      <c r="L47" s="43" t="str">
        <f t="shared" si="6"/>
        <v/>
      </c>
      <c r="M47" s="98" t="str">
        <f t="shared" si="7"/>
        <v/>
      </c>
      <c r="N47" s="9" t="str">
        <f t="shared" si="8"/>
        <v/>
      </c>
      <c r="O47" s="9" t="str">
        <f t="shared" si="9"/>
        <v/>
      </c>
      <c r="P47" s="9" t="str">
        <f t="shared" si="10"/>
        <v/>
      </c>
      <c r="Q47" s="43" t="str">
        <f t="shared" si="11"/>
        <v/>
      </c>
      <c r="R47" s="98" t="str">
        <f t="shared" si="12"/>
        <v/>
      </c>
      <c r="S47" s="9" t="str">
        <f t="shared" si="13"/>
        <v/>
      </c>
      <c r="T47" s="9" t="str">
        <f t="shared" si="14"/>
        <v/>
      </c>
      <c r="U47" s="9" t="str">
        <f t="shared" si="15"/>
        <v/>
      </c>
      <c r="V47" s="84" t="str">
        <f t="shared" si="16"/>
        <v/>
      </c>
      <c r="W47" s="98" t="str">
        <f t="shared" si="17"/>
        <v/>
      </c>
      <c r="X47" s="103" t="str">
        <f t="shared" si="18"/>
        <v/>
      </c>
      <c r="Y47" s="98" t="str">
        <f t="shared" si="19"/>
        <v/>
      </c>
      <c r="Z47" s="9" t="str">
        <f t="shared" si="20"/>
        <v/>
      </c>
      <c r="AA47" s="9" t="str">
        <f t="shared" si="21"/>
        <v/>
      </c>
      <c r="AB47" s="9" t="str">
        <f t="shared" si="22"/>
        <v/>
      </c>
      <c r="AC47" s="84" t="str">
        <f t="shared" si="23"/>
        <v/>
      </c>
      <c r="AD47" s="169" t="str">
        <f t="shared" si="24"/>
        <v/>
      </c>
      <c r="AE47" s="112" t="str">
        <f t="shared" si="25"/>
        <v/>
      </c>
      <c r="AF47" s="170" t="str">
        <f t="shared" si="26"/>
        <v/>
      </c>
      <c r="AG47" s="146" t="str">
        <f t="shared" si="27"/>
        <v/>
      </c>
      <c r="AH47" s="55" t="str">
        <f t="shared" si="28"/>
        <v/>
      </c>
      <c r="AI47" s="43" t="str">
        <f t="shared" si="29"/>
        <v/>
      </c>
      <c r="AJ47" s="38"/>
      <c r="AR47">
        <v>42</v>
      </c>
      <c r="AS47" t="str">
        <f t="shared" si="34"/>
        <v/>
      </c>
      <c r="AT47" t="str">
        <f t="shared" si="35"/>
        <v/>
      </c>
    </row>
    <row r="48" spans="1:46">
      <c r="A48" t="e">
        <f>IF(OR(RIGHT('RHUMBLINE SAILING'!B51,1)="S",RIGHT('RHUMBLINE SAILING'!B51,1)="s"),-1,1)*(VALUE(LEFT('RHUMBLINE SAILING'!B51,FIND("° ",'RHUMBLINE SAILING'!B51,1)-1))+VALUE(MID('RHUMBLINE SAILING'!B51,(FIND("° ",'RHUMBLINE SAILING'!B51,1)+2),6))/60)</f>
        <v>#VALUE!</v>
      </c>
      <c r="B48" t="e">
        <f>IF(OR(RIGHT('RHUMBLINE SAILING'!C51,1)="W",RIGHT('RHUMBLINE SAILING'!C51,1)="w"),-1,1)*(VALUE(LEFT('RHUMBLINE SAILING'!C51,FIND("° ",'RHUMBLINE SAILING'!C51,1)-1))+VALUE(MID('RHUMBLINE SAILING'!C51,(FIND("° ",'RHUMBLINE SAILING'!C51,1)+2),6))/60)</f>
        <v>#VALUE!</v>
      </c>
      <c r="C48">
        <v>44</v>
      </c>
      <c r="D48" s="165" t="str">
        <f>IF('RHUMBLINE SAILING'!B51="","",IF($D$2=2,'RHUMBLINE SAILING'!B51,TRUNC(A48)*100+(A48-TRUNC(A48))*60))</f>
        <v/>
      </c>
      <c r="E48" s="166" t="str">
        <f>IF('RHUMBLINE SAILING'!C51="","",IF($D$2=2,'RHUMBLINE SAILING'!C51,TRUNC(B48)*100+(B48-TRUNC(B48))*60))</f>
        <v/>
      </c>
      <c r="F48" s="42" t="str">
        <f t="shared" si="0"/>
        <v/>
      </c>
      <c r="G48" s="33" t="str">
        <f t="shared" si="1"/>
        <v/>
      </c>
      <c r="H48" s="33" t="str">
        <f t="shared" si="2"/>
        <v/>
      </c>
      <c r="I48" s="33" t="str">
        <f t="shared" si="3"/>
        <v/>
      </c>
      <c r="J48" s="98" t="str">
        <f t="shared" si="4"/>
        <v/>
      </c>
      <c r="K48" s="33" t="str">
        <f t="shared" si="5"/>
        <v/>
      </c>
      <c r="L48" s="43" t="str">
        <f t="shared" si="6"/>
        <v/>
      </c>
      <c r="M48" s="98" t="str">
        <f t="shared" si="7"/>
        <v/>
      </c>
      <c r="N48" s="9" t="str">
        <f t="shared" si="8"/>
        <v/>
      </c>
      <c r="O48" s="9" t="str">
        <f t="shared" si="9"/>
        <v/>
      </c>
      <c r="P48" s="9" t="str">
        <f t="shared" si="10"/>
        <v/>
      </c>
      <c r="Q48" s="43" t="str">
        <f t="shared" si="11"/>
        <v/>
      </c>
      <c r="R48" s="98" t="str">
        <f t="shared" si="12"/>
        <v/>
      </c>
      <c r="S48" s="9" t="str">
        <f t="shared" si="13"/>
        <v/>
      </c>
      <c r="T48" s="9" t="str">
        <f t="shared" si="14"/>
        <v/>
      </c>
      <c r="U48" s="9" t="str">
        <f t="shared" si="15"/>
        <v/>
      </c>
      <c r="V48" s="84" t="str">
        <f t="shared" si="16"/>
        <v/>
      </c>
      <c r="W48" s="98" t="str">
        <f t="shared" si="17"/>
        <v/>
      </c>
      <c r="X48" s="103" t="str">
        <f t="shared" si="18"/>
        <v/>
      </c>
      <c r="Y48" s="98" t="str">
        <f t="shared" si="19"/>
        <v/>
      </c>
      <c r="Z48" s="9" t="str">
        <f t="shared" si="20"/>
        <v/>
      </c>
      <c r="AA48" s="9" t="str">
        <f t="shared" si="21"/>
        <v/>
      </c>
      <c r="AB48" s="9" t="str">
        <f t="shared" si="22"/>
        <v/>
      </c>
      <c r="AC48" s="84" t="str">
        <f t="shared" si="23"/>
        <v/>
      </c>
      <c r="AD48" s="169" t="str">
        <f t="shared" si="24"/>
        <v/>
      </c>
      <c r="AE48" s="112" t="str">
        <f t="shared" si="25"/>
        <v/>
      </c>
      <c r="AF48" s="170" t="str">
        <f t="shared" si="26"/>
        <v/>
      </c>
      <c r="AG48" s="146" t="str">
        <f t="shared" si="27"/>
        <v/>
      </c>
      <c r="AH48" s="55" t="str">
        <f t="shared" si="28"/>
        <v/>
      </c>
      <c r="AI48" s="43" t="str">
        <f t="shared" si="29"/>
        <v/>
      </c>
      <c r="AJ48" s="38"/>
      <c r="AR48">
        <v>43</v>
      </c>
      <c r="AS48" t="str">
        <f t="shared" si="34"/>
        <v/>
      </c>
      <c r="AT48" t="str">
        <f t="shared" si="35"/>
        <v/>
      </c>
    </row>
    <row r="49" spans="1:46">
      <c r="A49" t="e">
        <f>IF(OR(RIGHT('RHUMBLINE SAILING'!B52,1)="S",RIGHT('RHUMBLINE SAILING'!B52,1)="s"),-1,1)*(VALUE(LEFT('RHUMBLINE SAILING'!B52,FIND("° ",'RHUMBLINE SAILING'!B52,1)-1))+VALUE(MID('RHUMBLINE SAILING'!B52,(FIND("° ",'RHUMBLINE SAILING'!B52,1)+2),6))/60)</f>
        <v>#VALUE!</v>
      </c>
      <c r="B49" t="e">
        <f>IF(OR(RIGHT('RHUMBLINE SAILING'!C52,1)="W",RIGHT('RHUMBLINE SAILING'!C52,1)="w"),-1,1)*(VALUE(LEFT('RHUMBLINE SAILING'!C52,FIND("° ",'RHUMBLINE SAILING'!C52,1)-1))+VALUE(MID('RHUMBLINE SAILING'!C52,(FIND("° ",'RHUMBLINE SAILING'!C52,1)+2),6))/60)</f>
        <v>#VALUE!</v>
      </c>
      <c r="C49">
        <v>45</v>
      </c>
      <c r="D49" s="165" t="str">
        <f>IF('RHUMBLINE SAILING'!B52="","",IF($D$2=2,'RHUMBLINE SAILING'!B52,TRUNC(A49)*100+(A49-TRUNC(A49))*60))</f>
        <v/>
      </c>
      <c r="E49" s="166" t="str">
        <f>IF('RHUMBLINE SAILING'!C52="","",IF($D$2=2,'RHUMBLINE SAILING'!C52,TRUNC(B49)*100+(B49-TRUNC(B49))*60))</f>
        <v/>
      </c>
      <c r="F49" s="42" t="str">
        <f t="shared" si="0"/>
        <v/>
      </c>
      <c r="G49" s="33" t="str">
        <f t="shared" si="1"/>
        <v/>
      </c>
      <c r="H49" s="33" t="str">
        <f t="shared" si="2"/>
        <v/>
      </c>
      <c r="I49" s="33" t="str">
        <f t="shared" si="3"/>
        <v/>
      </c>
      <c r="J49" s="98" t="str">
        <f t="shared" si="4"/>
        <v/>
      </c>
      <c r="K49" s="33" t="str">
        <f t="shared" si="5"/>
        <v/>
      </c>
      <c r="L49" s="43" t="str">
        <f t="shared" si="6"/>
        <v/>
      </c>
      <c r="M49" s="98" t="str">
        <f t="shared" si="7"/>
        <v/>
      </c>
      <c r="N49" s="9" t="str">
        <f t="shared" si="8"/>
        <v/>
      </c>
      <c r="O49" s="9" t="str">
        <f t="shared" si="9"/>
        <v/>
      </c>
      <c r="P49" s="9" t="str">
        <f t="shared" si="10"/>
        <v/>
      </c>
      <c r="Q49" s="43" t="str">
        <f t="shared" si="11"/>
        <v/>
      </c>
      <c r="R49" s="98" t="str">
        <f t="shared" si="12"/>
        <v/>
      </c>
      <c r="S49" s="9" t="str">
        <f t="shared" si="13"/>
        <v/>
      </c>
      <c r="T49" s="9" t="str">
        <f t="shared" si="14"/>
        <v/>
      </c>
      <c r="U49" s="9" t="str">
        <f t="shared" si="15"/>
        <v/>
      </c>
      <c r="V49" s="84" t="str">
        <f t="shared" si="16"/>
        <v/>
      </c>
      <c r="W49" s="98" t="str">
        <f t="shared" si="17"/>
        <v/>
      </c>
      <c r="X49" s="103" t="str">
        <f t="shared" si="18"/>
        <v/>
      </c>
      <c r="Y49" s="98" t="str">
        <f t="shared" si="19"/>
        <v/>
      </c>
      <c r="Z49" s="9" t="str">
        <f t="shared" si="20"/>
        <v/>
      </c>
      <c r="AA49" s="9" t="str">
        <f t="shared" si="21"/>
        <v/>
      </c>
      <c r="AB49" s="9" t="str">
        <f t="shared" si="22"/>
        <v/>
      </c>
      <c r="AC49" s="84" t="str">
        <f t="shared" si="23"/>
        <v/>
      </c>
      <c r="AD49" s="169" t="str">
        <f t="shared" si="24"/>
        <v/>
      </c>
      <c r="AE49" s="112" t="str">
        <f t="shared" si="25"/>
        <v/>
      </c>
      <c r="AF49" s="170" t="str">
        <f t="shared" si="26"/>
        <v/>
      </c>
      <c r="AG49" s="146" t="str">
        <f t="shared" si="27"/>
        <v/>
      </c>
      <c r="AH49" s="55" t="str">
        <f t="shared" si="28"/>
        <v/>
      </c>
      <c r="AI49" s="43" t="str">
        <f t="shared" si="29"/>
        <v/>
      </c>
      <c r="AJ49" s="38"/>
      <c r="AR49">
        <v>44</v>
      </c>
      <c r="AS49" t="str">
        <f t="shared" si="34"/>
        <v/>
      </c>
      <c r="AT49" t="str">
        <f t="shared" si="35"/>
        <v/>
      </c>
    </row>
    <row r="50" spans="1:46">
      <c r="A50" t="e">
        <f>IF(OR(RIGHT('RHUMBLINE SAILING'!B53,1)="S",RIGHT('RHUMBLINE SAILING'!B53,1)="s"),-1,1)*(VALUE(LEFT('RHUMBLINE SAILING'!B53,FIND("° ",'RHUMBLINE SAILING'!B53,1)-1))+VALUE(MID('RHUMBLINE SAILING'!B53,(FIND("° ",'RHUMBLINE SAILING'!B53,1)+2),6))/60)</f>
        <v>#VALUE!</v>
      </c>
      <c r="B50" t="e">
        <f>IF(OR(RIGHT('RHUMBLINE SAILING'!C53,1)="W",RIGHT('RHUMBLINE SAILING'!C53,1)="w"),-1,1)*(VALUE(LEFT('RHUMBLINE SAILING'!C53,FIND("° ",'RHUMBLINE SAILING'!C53,1)-1))+VALUE(MID('RHUMBLINE SAILING'!C53,(FIND("° ",'RHUMBLINE SAILING'!C53,1)+2),6))/60)</f>
        <v>#VALUE!</v>
      </c>
      <c r="C50">
        <v>46</v>
      </c>
      <c r="D50" s="165" t="str">
        <f>IF('RHUMBLINE SAILING'!B53="","",IF($D$2=2,'RHUMBLINE SAILING'!B53,TRUNC(A50)*100+(A50-TRUNC(A50))*60))</f>
        <v/>
      </c>
      <c r="E50" s="166" t="str">
        <f>IF('RHUMBLINE SAILING'!C53="","",IF($D$2=2,'RHUMBLINE SAILING'!C53,TRUNC(B50)*100+(B50-TRUNC(B50))*60))</f>
        <v/>
      </c>
      <c r="F50" s="42" t="str">
        <f t="shared" si="0"/>
        <v/>
      </c>
      <c r="G50" s="33" t="str">
        <f t="shared" si="1"/>
        <v/>
      </c>
      <c r="H50" s="33" t="str">
        <f t="shared" si="2"/>
        <v/>
      </c>
      <c r="I50" s="33" t="str">
        <f t="shared" si="3"/>
        <v/>
      </c>
      <c r="J50" s="98" t="str">
        <f t="shared" si="4"/>
        <v/>
      </c>
      <c r="K50" s="33" t="str">
        <f t="shared" si="5"/>
        <v/>
      </c>
      <c r="L50" s="43" t="str">
        <f t="shared" si="6"/>
        <v/>
      </c>
      <c r="M50" s="98" t="str">
        <f t="shared" si="7"/>
        <v/>
      </c>
      <c r="N50" s="9" t="str">
        <f t="shared" si="8"/>
        <v/>
      </c>
      <c r="O50" s="9" t="str">
        <f t="shared" si="9"/>
        <v/>
      </c>
      <c r="P50" s="9" t="str">
        <f t="shared" si="10"/>
        <v/>
      </c>
      <c r="Q50" s="43" t="str">
        <f t="shared" si="11"/>
        <v/>
      </c>
      <c r="R50" s="98" t="str">
        <f t="shared" si="12"/>
        <v/>
      </c>
      <c r="S50" s="9" t="str">
        <f t="shared" si="13"/>
        <v/>
      </c>
      <c r="T50" s="9" t="str">
        <f t="shared" si="14"/>
        <v/>
      </c>
      <c r="U50" s="9" t="str">
        <f t="shared" si="15"/>
        <v/>
      </c>
      <c r="V50" s="84" t="str">
        <f t="shared" si="16"/>
        <v/>
      </c>
      <c r="W50" s="98" t="str">
        <f t="shared" si="17"/>
        <v/>
      </c>
      <c r="X50" s="103" t="str">
        <f t="shared" si="18"/>
        <v/>
      </c>
      <c r="Y50" s="98" t="str">
        <f t="shared" si="19"/>
        <v/>
      </c>
      <c r="Z50" s="9" t="str">
        <f t="shared" si="20"/>
        <v/>
      </c>
      <c r="AA50" s="9" t="str">
        <f t="shared" si="21"/>
        <v/>
      </c>
      <c r="AB50" s="9" t="str">
        <f t="shared" si="22"/>
        <v/>
      </c>
      <c r="AC50" s="84" t="str">
        <f t="shared" si="23"/>
        <v/>
      </c>
      <c r="AD50" s="169" t="str">
        <f t="shared" si="24"/>
        <v/>
      </c>
      <c r="AE50" s="112" t="str">
        <f t="shared" si="25"/>
        <v/>
      </c>
      <c r="AF50" s="170" t="str">
        <f t="shared" si="26"/>
        <v/>
      </c>
      <c r="AG50" s="146" t="str">
        <f t="shared" si="27"/>
        <v/>
      </c>
      <c r="AH50" s="55" t="str">
        <f t="shared" si="28"/>
        <v/>
      </c>
      <c r="AI50" s="43" t="str">
        <f t="shared" si="29"/>
        <v/>
      </c>
      <c r="AJ50" s="38"/>
      <c r="AR50">
        <v>45</v>
      </c>
      <c r="AS50" t="str">
        <f t="shared" si="34"/>
        <v/>
      </c>
      <c r="AT50" t="str">
        <f t="shared" si="35"/>
        <v/>
      </c>
    </row>
    <row r="51" spans="1:46">
      <c r="A51" t="e">
        <f>IF(OR(RIGHT('RHUMBLINE SAILING'!B54,1)="S",RIGHT('RHUMBLINE SAILING'!B54,1)="s"),-1,1)*(VALUE(LEFT('RHUMBLINE SAILING'!B54,FIND("° ",'RHUMBLINE SAILING'!B54,1)-1))+VALUE(MID('RHUMBLINE SAILING'!B54,(FIND("° ",'RHUMBLINE SAILING'!B54,1)+2),6))/60)</f>
        <v>#VALUE!</v>
      </c>
      <c r="B51" t="e">
        <f>IF(OR(RIGHT('RHUMBLINE SAILING'!C54,1)="W",RIGHT('RHUMBLINE SAILING'!C54,1)="w"),-1,1)*(VALUE(LEFT('RHUMBLINE SAILING'!C54,FIND("° ",'RHUMBLINE SAILING'!C54,1)-1))+VALUE(MID('RHUMBLINE SAILING'!C54,(FIND("° ",'RHUMBLINE SAILING'!C54,1)+2),6))/60)</f>
        <v>#VALUE!</v>
      </c>
      <c r="C51">
        <v>47</v>
      </c>
      <c r="D51" s="165" t="str">
        <f>IF('RHUMBLINE SAILING'!B54="","",IF($D$2=2,'RHUMBLINE SAILING'!B54,TRUNC(A51)*100+(A51-TRUNC(A51))*60))</f>
        <v/>
      </c>
      <c r="E51" s="166" t="str">
        <f>IF('RHUMBLINE SAILING'!C54="","",IF($D$2=2,'RHUMBLINE SAILING'!C54,TRUNC(B51)*100+(B51-TRUNC(B51))*60))</f>
        <v/>
      </c>
      <c r="F51" s="42" t="str">
        <f t="shared" si="0"/>
        <v/>
      </c>
      <c r="G51" s="33" t="str">
        <f t="shared" si="1"/>
        <v/>
      </c>
      <c r="H51" s="33" t="str">
        <f t="shared" si="2"/>
        <v/>
      </c>
      <c r="I51" s="33" t="str">
        <f t="shared" si="3"/>
        <v/>
      </c>
      <c r="J51" s="98" t="str">
        <f t="shared" si="4"/>
        <v/>
      </c>
      <c r="K51" s="33" t="str">
        <f t="shared" si="5"/>
        <v/>
      </c>
      <c r="L51" s="43" t="str">
        <f t="shared" si="6"/>
        <v/>
      </c>
      <c r="M51" s="98" t="str">
        <f t="shared" si="7"/>
        <v/>
      </c>
      <c r="N51" s="9" t="str">
        <f t="shared" si="8"/>
        <v/>
      </c>
      <c r="O51" s="9" t="str">
        <f t="shared" si="9"/>
        <v/>
      </c>
      <c r="P51" s="9" t="str">
        <f t="shared" si="10"/>
        <v/>
      </c>
      <c r="Q51" s="43" t="str">
        <f t="shared" si="11"/>
        <v/>
      </c>
      <c r="R51" s="98" t="str">
        <f t="shared" si="12"/>
        <v/>
      </c>
      <c r="S51" s="9" t="str">
        <f t="shared" si="13"/>
        <v/>
      </c>
      <c r="T51" s="9" t="str">
        <f t="shared" si="14"/>
        <v/>
      </c>
      <c r="U51" s="9" t="str">
        <f t="shared" si="15"/>
        <v/>
      </c>
      <c r="V51" s="84" t="str">
        <f t="shared" si="16"/>
        <v/>
      </c>
      <c r="W51" s="98" t="str">
        <f t="shared" si="17"/>
        <v/>
      </c>
      <c r="X51" s="103" t="str">
        <f t="shared" si="18"/>
        <v/>
      </c>
      <c r="Y51" s="98" t="str">
        <f t="shared" si="19"/>
        <v/>
      </c>
      <c r="Z51" s="9" t="str">
        <f t="shared" si="20"/>
        <v/>
      </c>
      <c r="AA51" s="9" t="str">
        <f t="shared" si="21"/>
        <v/>
      </c>
      <c r="AB51" s="9" t="str">
        <f t="shared" si="22"/>
        <v/>
      </c>
      <c r="AC51" s="84" t="str">
        <f t="shared" si="23"/>
        <v/>
      </c>
      <c r="AD51" s="169" t="str">
        <f t="shared" si="24"/>
        <v/>
      </c>
      <c r="AE51" s="112" t="str">
        <f t="shared" si="25"/>
        <v/>
      </c>
      <c r="AF51" s="170" t="str">
        <f t="shared" si="26"/>
        <v/>
      </c>
      <c r="AG51" s="146" t="str">
        <f t="shared" si="27"/>
        <v/>
      </c>
      <c r="AH51" s="55" t="str">
        <f t="shared" si="28"/>
        <v/>
      </c>
      <c r="AI51" s="43" t="str">
        <f t="shared" si="29"/>
        <v/>
      </c>
      <c r="AJ51" s="38"/>
      <c r="AR51">
        <v>46</v>
      </c>
      <c r="AS51" t="str">
        <f t="shared" si="34"/>
        <v/>
      </c>
      <c r="AT51" t="str">
        <f t="shared" si="35"/>
        <v/>
      </c>
    </row>
    <row r="52" spans="1:46">
      <c r="A52" t="e">
        <f>IF(OR(RIGHT('RHUMBLINE SAILING'!B55,1)="S",RIGHT('RHUMBLINE SAILING'!B55,1)="s"),-1,1)*(VALUE(LEFT('RHUMBLINE SAILING'!B55,FIND("° ",'RHUMBLINE SAILING'!B55,1)-1))+VALUE(MID('RHUMBLINE SAILING'!B55,(FIND("° ",'RHUMBLINE SAILING'!B55,1)+2),6))/60)</f>
        <v>#VALUE!</v>
      </c>
      <c r="B52" t="e">
        <f>IF(OR(RIGHT('RHUMBLINE SAILING'!C55,1)="W",RIGHT('RHUMBLINE SAILING'!C55,1)="w"),-1,1)*(VALUE(LEFT('RHUMBLINE SAILING'!C55,FIND("° ",'RHUMBLINE SAILING'!C55,1)-1))+VALUE(MID('RHUMBLINE SAILING'!C55,(FIND("° ",'RHUMBLINE SAILING'!C55,1)+2),6))/60)</f>
        <v>#VALUE!</v>
      </c>
      <c r="C52">
        <v>48</v>
      </c>
      <c r="D52" s="165" t="str">
        <f>IF('RHUMBLINE SAILING'!B55="","",IF($D$2=2,'RHUMBLINE SAILING'!B55,TRUNC(A52)*100+(A52-TRUNC(A52))*60))</f>
        <v/>
      </c>
      <c r="E52" s="166" t="str">
        <f>IF('RHUMBLINE SAILING'!C55="","",IF($D$2=2,'RHUMBLINE SAILING'!C55,TRUNC(B52)*100+(B52-TRUNC(B52))*60))</f>
        <v/>
      </c>
      <c r="F52" s="42" t="str">
        <f t="shared" si="0"/>
        <v/>
      </c>
      <c r="G52" s="33" t="str">
        <f t="shared" si="1"/>
        <v/>
      </c>
      <c r="H52" s="33" t="str">
        <f t="shared" si="2"/>
        <v/>
      </c>
      <c r="I52" s="33" t="str">
        <f t="shared" si="3"/>
        <v/>
      </c>
      <c r="J52" s="98" t="str">
        <f t="shared" si="4"/>
        <v/>
      </c>
      <c r="K52" s="33" t="str">
        <f t="shared" si="5"/>
        <v/>
      </c>
      <c r="L52" s="43" t="str">
        <f t="shared" si="6"/>
        <v/>
      </c>
      <c r="M52" s="98" t="str">
        <f t="shared" si="7"/>
        <v/>
      </c>
      <c r="N52" s="9" t="str">
        <f t="shared" si="8"/>
        <v/>
      </c>
      <c r="O52" s="9" t="str">
        <f t="shared" si="9"/>
        <v/>
      </c>
      <c r="P52" s="9" t="str">
        <f t="shared" si="10"/>
        <v/>
      </c>
      <c r="Q52" s="43" t="str">
        <f t="shared" si="11"/>
        <v/>
      </c>
      <c r="R52" s="98" t="str">
        <f t="shared" si="12"/>
        <v/>
      </c>
      <c r="S52" s="9" t="str">
        <f t="shared" si="13"/>
        <v/>
      </c>
      <c r="T52" s="9" t="str">
        <f t="shared" si="14"/>
        <v/>
      </c>
      <c r="U52" s="9" t="str">
        <f t="shared" si="15"/>
        <v/>
      </c>
      <c r="V52" s="84" t="str">
        <f t="shared" si="16"/>
        <v/>
      </c>
      <c r="W52" s="98" t="str">
        <f t="shared" si="17"/>
        <v/>
      </c>
      <c r="X52" s="103" t="str">
        <f t="shared" si="18"/>
        <v/>
      </c>
      <c r="Y52" s="98" t="str">
        <f t="shared" si="19"/>
        <v/>
      </c>
      <c r="Z52" s="9" t="str">
        <f t="shared" si="20"/>
        <v/>
      </c>
      <c r="AA52" s="9" t="str">
        <f t="shared" si="21"/>
        <v/>
      </c>
      <c r="AB52" s="9" t="str">
        <f t="shared" si="22"/>
        <v/>
      </c>
      <c r="AC52" s="84" t="str">
        <f t="shared" si="23"/>
        <v/>
      </c>
      <c r="AD52" s="169" t="str">
        <f t="shared" si="24"/>
        <v/>
      </c>
      <c r="AE52" s="112" t="str">
        <f t="shared" si="25"/>
        <v/>
      </c>
      <c r="AF52" s="170" t="str">
        <f t="shared" si="26"/>
        <v/>
      </c>
      <c r="AG52" s="146" t="str">
        <f t="shared" si="27"/>
        <v/>
      </c>
      <c r="AH52" s="55" t="str">
        <f t="shared" si="28"/>
        <v/>
      </c>
      <c r="AI52" s="43" t="str">
        <f t="shared" si="29"/>
        <v/>
      </c>
      <c r="AJ52" s="38"/>
      <c r="AR52">
        <v>47</v>
      </c>
      <c r="AS52" t="str">
        <f t="shared" si="34"/>
        <v/>
      </c>
      <c r="AT52" t="str">
        <f t="shared" si="35"/>
        <v/>
      </c>
    </row>
    <row r="53" spans="1:46">
      <c r="A53" t="e">
        <f>IF(OR(RIGHT('RHUMBLINE SAILING'!B56,1)="S",RIGHT('RHUMBLINE SAILING'!B56,1)="s"),-1,1)*(VALUE(LEFT('RHUMBLINE SAILING'!B56,FIND("° ",'RHUMBLINE SAILING'!B56,1)-1))+VALUE(MID('RHUMBLINE SAILING'!B56,(FIND("° ",'RHUMBLINE SAILING'!B56,1)+2),6))/60)</f>
        <v>#VALUE!</v>
      </c>
      <c r="B53" t="e">
        <f>IF(OR(RIGHT('RHUMBLINE SAILING'!C56,1)="W",RIGHT('RHUMBLINE SAILING'!C56,1)="w"),-1,1)*(VALUE(LEFT('RHUMBLINE SAILING'!C56,FIND("° ",'RHUMBLINE SAILING'!C56,1)-1))+VALUE(MID('RHUMBLINE SAILING'!C56,(FIND("° ",'RHUMBLINE SAILING'!C56,1)+2),6))/60)</f>
        <v>#VALUE!</v>
      </c>
      <c r="C53">
        <v>49</v>
      </c>
      <c r="D53" s="165" t="str">
        <f>IF('RHUMBLINE SAILING'!B56="","",IF($D$2=2,'RHUMBLINE SAILING'!B56,TRUNC(A53)*100+(A53-TRUNC(A53))*60))</f>
        <v/>
      </c>
      <c r="E53" s="166" t="str">
        <f>IF('RHUMBLINE SAILING'!C56="","",IF($D$2=2,'RHUMBLINE SAILING'!C56,TRUNC(B53)*100+(B53-TRUNC(B53))*60))</f>
        <v/>
      </c>
      <c r="F53" s="42" t="str">
        <f t="shared" si="0"/>
        <v/>
      </c>
      <c r="G53" s="33" t="str">
        <f t="shared" si="1"/>
        <v/>
      </c>
      <c r="H53" s="33" t="str">
        <f t="shared" si="2"/>
        <v/>
      </c>
      <c r="I53" s="33" t="str">
        <f t="shared" si="3"/>
        <v/>
      </c>
      <c r="J53" s="98" t="str">
        <f t="shared" si="4"/>
        <v/>
      </c>
      <c r="K53" s="33" t="str">
        <f t="shared" si="5"/>
        <v/>
      </c>
      <c r="L53" s="43" t="str">
        <f t="shared" si="6"/>
        <v/>
      </c>
      <c r="M53" s="98" t="str">
        <f t="shared" si="7"/>
        <v/>
      </c>
      <c r="N53" s="9" t="str">
        <f t="shared" si="8"/>
        <v/>
      </c>
      <c r="O53" s="9" t="str">
        <f t="shared" si="9"/>
        <v/>
      </c>
      <c r="P53" s="9" t="str">
        <f t="shared" si="10"/>
        <v/>
      </c>
      <c r="Q53" s="43" t="str">
        <f t="shared" si="11"/>
        <v/>
      </c>
      <c r="R53" s="98" t="str">
        <f t="shared" si="12"/>
        <v/>
      </c>
      <c r="S53" s="9" t="str">
        <f t="shared" si="13"/>
        <v/>
      </c>
      <c r="T53" s="9" t="str">
        <f t="shared" si="14"/>
        <v/>
      </c>
      <c r="U53" s="9" t="str">
        <f t="shared" si="15"/>
        <v/>
      </c>
      <c r="V53" s="84" t="str">
        <f t="shared" si="16"/>
        <v/>
      </c>
      <c r="W53" s="98" t="str">
        <f t="shared" si="17"/>
        <v/>
      </c>
      <c r="X53" s="103" t="str">
        <f t="shared" si="18"/>
        <v/>
      </c>
      <c r="Y53" s="98" t="str">
        <f t="shared" si="19"/>
        <v/>
      </c>
      <c r="Z53" s="9" t="str">
        <f t="shared" si="20"/>
        <v/>
      </c>
      <c r="AA53" s="9" t="str">
        <f t="shared" si="21"/>
        <v/>
      </c>
      <c r="AB53" s="9" t="str">
        <f t="shared" si="22"/>
        <v/>
      </c>
      <c r="AC53" s="84" t="str">
        <f t="shared" si="23"/>
        <v/>
      </c>
      <c r="AD53" s="169" t="str">
        <f t="shared" si="24"/>
        <v/>
      </c>
      <c r="AE53" s="112" t="str">
        <f t="shared" si="25"/>
        <v/>
      </c>
      <c r="AF53" s="170" t="str">
        <f t="shared" si="26"/>
        <v/>
      </c>
      <c r="AG53" s="146" t="str">
        <f t="shared" si="27"/>
        <v/>
      </c>
      <c r="AH53" s="55" t="str">
        <f t="shared" si="28"/>
        <v/>
      </c>
      <c r="AI53" s="43" t="str">
        <f t="shared" si="29"/>
        <v/>
      </c>
      <c r="AJ53" s="38"/>
      <c r="AR53">
        <v>48</v>
      </c>
      <c r="AS53" t="str">
        <f t="shared" si="34"/>
        <v/>
      </c>
      <c r="AT53" t="str">
        <f t="shared" si="35"/>
        <v/>
      </c>
    </row>
    <row r="54" spans="1:46">
      <c r="A54" t="e">
        <f>IF(OR(RIGHT('RHUMBLINE SAILING'!B57,1)="S",RIGHT('RHUMBLINE SAILING'!B57,1)="s"),-1,1)*(VALUE(LEFT('RHUMBLINE SAILING'!B57,FIND("° ",'RHUMBLINE SAILING'!B57,1)-1))+VALUE(MID('RHUMBLINE SAILING'!B57,(FIND("° ",'RHUMBLINE SAILING'!B57,1)+2),6))/60)</f>
        <v>#VALUE!</v>
      </c>
      <c r="B54" t="e">
        <f>IF(OR(RIGHT('RHUMBLINE SAILING'!C57,1)="W",RIGHT('RHUMBLINE SAILING'!C57,1)="w"),-1,1)*(VALUE(LEFT('RHUMBLINE SAILING'!C57,FIND("° ",'RHUMBLINE SAILING'!C57,1)-1))+VALUE(MID('RHUMBLINE SAILING'!C57,(FIND("° ",'RHUMBLINE SAILING'!C57,1)+2),6))/60)</f>
        <v>#VALUE!</v>
      </c>
      <c r="C54">
        <v>50</v>
      </c>
      <c r="D54" s="165" t="str">
        <f>IF('RHUMBLINE SAILING'!B57="","",IF($D$2=2,'RHUMBLINE SAILING'!B57,TRUNC(A54)*100+(A54-TRUNC(A54))*60))</f>
        <v/>
      </c>
      <c r="E54" s="166" t="str">
        <f>IF('RHUMBLINE SAILING'!C57="","",IF($D$2=2,'RHUMBLINE SAILING'!C57,TRUNC(B54)*100+(B54-TRUNC(B54))*60))</f>
        <v/>
      </c>
      <c r="F54" s="42" t="str">
        <f t="shared" si="0"/>
        <v/>
      </c>
      <c r="G54" s="33" t="str">
        <f t="shared" si="1"/>
        <v/>
      </c>
      <c r="H54" s="33" t="str">
        <f t="shared" si="2"/>
        <v/>
      </c>
      <c r="I54" s="33" t="str">
        <f t="shared" si="3"/>
        <v/>
      </c>
      <c r="J54" s="98" t="str">
        <f t="shared" si="4"/>
        <v/>
      </c>
      <c r="K54" s="33" t="str">
        <f t="shared" si="5"/>
        <v/>
      </c>
      <c r="L54" s="43" t="str">
        <f t="shared" si="6"/>
        <v/>
      </c>
      <c r="M54" s="98" t="str">
        <f t="shared" si="7"/>
        <v/>
      </c>
      <c r="N54" s="9" t="str">
        <f t="shared" si="8"/>
        <v/>
      </c>
      <c r="O54" s="9" t="str">
        <f t="shared" si="9"/>
        <v/>
      </c>
      <c r="P54" s="9" t="str">
        <f t="shared" si="10"/>
        <v/>
      </c>
      <c r="Q54" s="43" t="str">
        <f t="shared" si="11"/>
        <v/>
      </c>
      <c r="R54" s="98" t="str">
        <f t="shared" si="12"/>
        <v/>
      </c>
      <c r="S54" s="9" t="str">
        <f t="shared" si="13"/>
        <v/>
      </c>
      <c r="T54" s="9" t="str">
        <f t="shared" si="14"/>
        <v/>
      </c>
      <c r="U54" s="9" t="str">
        <f t="shared" si="15"/>
        <v/>
      </c>
      <c r="V54" s="84" t="str">
        <f t="shared" si="16"/>
        <v/>
      </c>
      <c r="W54" s="98" t="str">
        <f t="shared" si="17"/>
        <v/>
      </c>
      <c r="X54" s="103" t="str">
        <f t="shared" si="18"/>
        <v/>
      </c>
      <c r="Y54" s="98" t="str">
        <f t="shared" si="19"/>
        <v/>
      </c>
      <c r="Z54" s="9" t="str">
        <f t="shared" si="20"/>
        <v/>
      </c>
      <c r="AA54" s="9" t="str">
        <f t="shared" si="21"/>
        <v/>
      </c>
      <c r="AB54" s="9" t="str">
        <f t="shared" si="22"/>
        <v/>
      </c>
      <c r="AC54" s="84" t="str">
        <f t="shared" si="23"/>
        <v/>
      </c>
      <c r="AD54" s="169" t="str">
        <f t="shared" si="24"/>
        <v/>
      </c>
      <c r="AE54" s="112" t="str">
        <f t="shared" si="25"/>
        <v/>
      </c>
      <c r="AF54" s="170" t="str">
        <f t="shared" si="26"/>
        <v/>
      </c>
      <c r="AG54" s="146" t="str">
        <f t="shared" si="27"/>
        <v/>
      </c>
      <c r="AH54" s="55" t="str">
        <f t="shared" si="28"/>
        <v/>
      </c>
      <c r="AI54" s="43" t="str">
        <f t="shared" si="29"/>
        <v/>
      </c>
      <c r="AJ54" s="38"/>
      <c r="AR54">
        <v>49</v>
      </c>
      <c r="AS54" t="str">
        <f t="shared" si="34"/>
        <v/>
      </c>
      <c r="AT54" t="str">
        <f t="shared" si="35"/>
        <v/>
      </c>
    </row>
    <row r="55" spans="1:46">
      <c r="A55" t="e">
        <f>IF(OR(RIGHT('RHUMBLINE SAILING'!B58,1)="S",RIGHT('RHUMBLINE SAILING'!B58,1)="s"),-1,1)*(VALUE(LEFT('RHUMBLINE SAILING'!B58,FIND("° ",'RHUMBLINE SAILING'!B58,1)-1))+VALUE(MID('RHUMBLINE SAILING'!B58,(FIND("° ",'RHUMBLINE SAILING'!B58,1)+2),6))/60)</f>
        <v>#VALUE!</v>
      </c>
      <c r="B55" t="e">
        <f>IF(OR(RIGHT('RHUMBLINE SAILING'!C58,1)="W",RIGHT('RHUMBLINE SAILING'!C58,1)="w"),-1,1)*(VALUE(LEFT('RHUMBLINE SAILING'!C58,FIND("° ",'RHUMBLINE SAILING'!C58,1)-1))+VALUE(MID('RHUMBLINE SAILING'!C58,(FIND("° ",'RHUMBLINE SAILING'!C58,1)+2),6))/60)</f>
        <v>#VALUE!</v>
      </c>
      <c r="C55">
        <v>51</v>
      </c>
      <c r="D55" s="165" t="str">
        <f>IF('RHUMBLINE SAILING'!B58="","",IF($D$2=2,'RHUMBLINE SAILING'!B58,TRUNC(A55)*100+(A55-TRUNC(A55))*60))</f>
        <v/>
      </c>
      <c r="E55" s="166" t="str">
        <f>IF('RHUMBLINE SAILING'!C58="","",IF($D$2=2,'RHUMBLINE SAILING'!C58,TRUNC(B55)*100+(B55-TRUNC(B55))*60))</f>
        <v/>
      </c>
      <c r="F55" s="42" t="str">
        <f t="shared" si="0"/>
        <v/>
      </c>
      <c r="G55" s="33" t="str">
        <f t="shared" si="1"/>
        <v/>
      </c>
      <c r="H55" s="33" t="str">
        <f t="shared" si="2"/>
        <v/>
      </c>
      <c r="I55" s="33" t="str">
        <f t="shared" si="3"/>
        <v/>
      </c>
      <c r="J55" s="98" t="str">
        <f t="shared" si="4"/>
        <v/>
      </c>
      <c r="K55" s="33" t="str">
        <f t="shared" si="5"/>
        <v/>
      </c>
      <c r="L55" s="43" t="str">
        <f t="shared" si="6"/>
        <v/>
      </c>
      <c r="M55" s="98" t="str">
        <f t="shared" si="7"/>
        <v/>
      </c>
      <c r="N55" s="9" t="str">
        <f t="shared" si="8"/>
        <v/>
      </c>
      <c r="O55" s="9" t="str">
        <f t="shared" si="9"/>
        <v/>
      </c>
      <c r="P55" s="9" t="str">
        <f t="shared" si="10"/>
        <v/>
      </c>
      <c r="Q55" s="43" t="str">
        <f t="shared" si="11"/>
        <v/>
      </c>
      <c r="R55" s="98" t="str">
        <f t="shared" si="12"/>
        <v/>
      </c>
      <c r="S55" s="9" t="str">
        <f t="shared" si="13"/>
        <v/>
      </c>
      <c r="T55" s="9" t="str">
        <f t="shared" si="14"/>
        <v/>
      </c>
      <c r="U55" s="9" t="str">
        <f t="shared" si="15"/>
        <v/>
      </c>
      <c r="V55" s="84" t="str">
        <f t="shared" si="16"/>
        <v/>
      </c>
      <c r="W55" s="98" t="str">
        <f t="shared" si="17"/>
        <v/>
      </c>
      <c r="X55" s="103" t="str">
        <f t="shared" si="18"/>
        <v/>
      </c>
      <c r="Y55" s="98" t="str">
        <f t="shared" si="19"/>
        <v/>
      </c>
      <c r="Z55" s="9" t="str">
        <f t="shared" si="20"/>
        <v/>
      </c>
      <c r="AA55" s="9" t="str">
        <f t="shared" si="21"/>
        <v/>
      </c>
      <c r="AB55" s="9" t="str">
        <f t="shared" si="22"/>
        <v/>
      </c>
      <c r="AC55" s="84" t="str">
        <f t="shared" si="23"/>
        <v/>
      </c>
      <c r="AD55" s="169" t="str">
        <f t="shared" si="24"/>
        <v/>
      </c>
      <c r="AE55" s="112" t="str">
        <f t="shared" si="25"/>
        <v/>
      </c>
      <c r="AF55" s="170" t="str">
        <f t="shared" si="26"/>
        <v/>
      </c>
      <c r="AG55" s="146" t="str">
        <f t="shared" si="27"/>
        <v/>
      </c>
      <c r="AH55" s="55" t="str">
        <f t="shared" si="28"/>
        <v/>
      </c>
      <c r="AI55" s="43" t="str">
        <f t="shared" si="29"/>
        <v/>
      </c>
      <c r="AJ55" s="38"/>
      <c r="AR55">
        <v>50</v>
      </c>
      <c r="AS55" t="str">
        <f t="shared" si="34"/>
        <v/>
      </c>
      <c r="AT55" t="str">
        <f t="shared" si="35"/>
        <v/>
      </c>
    </row>
    <row r="56" spans="1:46">
      <c r="A56" t="e">
        <f>IF(OR(RIGHT('RHUMBLINE SAILING'!B59,1)="S",RIGHT('RHUMBLINE SAILING'!B59,1)="s"),-1,1)*(VALUE(LEFT('RHUMBLINE SAILING'!B59,FIND("° ",'RHUMBLINE SAILING'!B59,1)-1))+VALUE(MID('RHUMBLINE SAILING'!B59,(FIND("° ",'RHUMBLINE SAILING'!B59,1)+2),6))/60)</f>
        <v>#VALUE!</v>
      </c>
      <c r="B56" t="e">
        <f>IF(OR(RIGHT('RHUMBLINE SAILING'!C59,1)="W",RIGHT('RHUMBLINE SAILING'!C59,1)="w"),-1,1)*(VALUE(LEFT('RHUMBLINE SAILING'!C59,FIND("° ",'RHUMBLINE SAILING'!C59,1)-1))+VALUE(MID('RHUMBLINE SAILING'!C59,(FIND("° ",'RHUMBLINE SAILING'!C59,1)+2),6))/60)</f>
        <v>#VALUE!</v>
      </c>
      <c r="C56">
        <v>52</v>
      </c>
      <c r="D56" s="165" t="str">
        <f>IF('RHUMBLINE SAILING'!B59="","",IF($D$2=2,'RHUMBLINE SAILING'!B59,TRUNC(A56)*100+(A56-TRUNC(A56))*60))</f>
        <v/>
      </c>
      <c r="E56" s="166" t="str">
        <f>IF('RHUMBLINE SAILING'!C59="","",IF($D$2=2,'RHUMBLINE SAILING'!C59,TRUNC(B56)*100+(B56-TRUNC(B56))*60))</f>
        <v/>
      </c>
      <c r="F56" s="42" t="str">
        <f t="shared" si="0"/>
        <v/>
      </c>
      <c r="G56" s="33" t="str">
        <f t="shared" si="1"/>
        <v/>
      </c>
      <c r="H56" s="33" t="str">
        <f t="shared" si="2"/>
        <v/>
      </c>
      <c r="I56" s="33" t="str">
        <f t="shared" si="3"/>
        <v/>
      </c>
      <c r="J56" s="98" t="str">
        <f t="shared" si="4"/>
        <v/>
      </c>
      <c r="K56" s="33" t="str">
        <f t="shared" si="5"/>
        <v/>
      </c>
      <c r="L56" s="43" t="str">
        <f t="shared" si="6"/>
        <v/>
      </c>
      <c r="M56" s="98" t="str">
        <f t="shared" si="7"/>
        <v/>
      </c>
      <c r="N56" s="9" t="str">
        <f t="shared" si="8"/>
        <v/>
      </c>
      <c r="O56" s="9" t="str">
        <f t="shared" si="9"/>
        <v/>
      </c>
      <c r="P56" s="9" t="str">
        <f t="shared" si="10"/>
        <v/>
      </c>
      <c r="Q56" s="43" t="str">
        <f t="shared" si="11"/>
        <v/>
      </c>
      <c r="R56" s="98" t="str">
        <f t="shared" si="12"/>
        <v/>
      </c>
      <c r="S56" s="9" t="str">
        <f t="shared" si="13"/>
        <v/>
      </c>
      <c r="T56" s="9" t="str">
        <f t="shared" si="14"/>
        <v/>
      </c>
      <c r="U56" s="9" t="str">
        <f t="shared" si="15"/>
        <v/>
      </c>
      <c r="V56" s="84" t="str">
        <f t="shared" si="16"/>
        <v/>
      </c>
      <c r="W56" s="98" t="str">
        <f t="shared" si="17"/>
        <v/>
      </c>
      <c r="X56" s="103" t="str">
        <f t="shared" si="18"/>
        <v/>
      </c>
      <c r="Y56" s="98" t="str">
        <f t="shared" si="19"/>
        <v/>
      </c>
      <c r="Z56" s="9" t="str">
        <f t="shared" si="20"/>
        <v/>
      </c>
      <c r="AA56" s="9" t="str">
        <f t="shared" si="21"/>
        <v/>
      </c>
      <c r="AB56" s="9" t="str">
        <f t="shared" si="22"/>
        <v/>
      </c>
      <c r="AC56" s="84" t="str">
        <f t="shared" si="23"/>
        <v/>
      </c>
      <c r="AD56" s="169" t="str">
        <f t="shared" si="24"/>
        <v/>
      </c>
      <c r="AE56" s="112" t="str">
        <f t="shared" si="25"/>
        <v/>
      </c>
      <c r="AF56" s="170" t="str">
        <f t="shared" si="26"/>
        <v/>
      </c>
      <c r="AG56" s="146" t="str">
        <f t="shared" si="27"/>
        <v/>
      </c>
      <c r="AH56" s="55" t="str">
        <f t="shared" si="28"/>
        <v/>
      </c>
      <c r="AI56" s="43" t="str">
        <f t="shared" si="29"/>
        <v/>
      </c>
      <c r="AJ56" s="38"/>
      <c r="AR56">
        <v>51</v>
      </c>
      <c r="AS56" t="str">
        <f t="shared" si="34"/>
        <v/>
      </c>
      <c r="AT56" t="str">
        <f t="shared" si="35"/>
        <v/>
      </c>
    </row>
    <row r="57" spans="1:46">
      <c r="A57" t="e">
        <f>IF(OR(RIGHT('RHUMBLINE SAILING'!B60,1)="S",RIGHT('RHUMBLINE SAILING'!B60,1)="s"),-1,1)*(VALUE(LEFT('RHUMBLINE SAILING'!B60,FIND("° ",'RHUMBLINE SAILING'!B60,1)-1))+VALUE(MID('RHUMBLINE SAILING'!B60,(FIND("° ",'RHUMBLINE SAILING'!B60,1)+2),6))/60)</f>
        <v>#VALUE!</v>
      </c>
      <c r="B57" t="e">
        <f>IF(OR(RIGHT('RHUMBLINE SAILING'!C60,1)="W",RIGHT('RHUMBLINE SAILING'!C60,1)="w"),-1,1)*(VALUE(LEFT('RHUMBLINE SAILING'!C60,FIND("° ",'RHUMBLINE SAILING'!C60,1)-1))+VALUE(MID('RHUMBLINE SAILING'!C60,(FIND("° ",'RHUMBLINE SAILING'!C60,1)+2),6))/60)</f>
        <v>#VALUE!</v>
      </c>
      <c r="C57">
        <v>53</v>
      </c>
      <c r="D57" s="165" t="str">
        <f>IF('RHUMBLINE SAILING'!B60="","",IF($D$2=2,'RHUMBLINE SAILING'!B60,TRUNC(A57)*100+(A57-TRUNC(A57))*60))</f>
        <v/>
      </c>
      <c r="E57" s="166" t="str">
        <f>IF('RHUMBLINE SAILING'!C60="","",IF($D$2=2,'RHUMBLINE SAILING'!C60,TRUNC(B57)*100+(B57-TRUNC(B57))*60))</f>
        <v/>
      </c>
      <c r="F57" s="42" t="str">
        <f t="shared" si="0"/>
        <v/>
      </c>
      <c r="G57" s="33" t="str">
        <f t="shared" si="1"/>
        <v/>
      </c>
      <c r="H57" s="33" t="str">
        <f t="shared" si="2"/>
        <v/>
      </c>
      <c r="I57" s="33" t="str">
        <f t="shared" si="3"/>
        <v/>
      </c>
      <c r="J57" s="98" t="str">
        <f t="shared" si="4"/>
        <v/>
      </c>
      <c r="K57" s="33" t="str">
        <f t="shared" si="5"/>
        <v/>
      </c>
      <c r="L57" s="43" t="str">
        <f t="shared" si="6"/>
        <v/>
      </c>
      <c r="M57" s="98" t="str">
        <f t="shared" si="7"/>
        <v/>
      </c>
      <c r="N57" s="9" t="str">
        <f t="shared" si="8"/>
        <v/>
      </c>
      <c r="O57" s="9" t="str">
        <f t="shared" si="9"/>
        <v/>
      </c>
      <c r="P57" s="9" t="str">
        <f t="shared" si="10"/>
        <v/>
      </c>
      <c r="Q57" s="43" t="str">
        <f t="shared" si="11"/>
        <v/>
      </c>
      <c r="R57" s="98" t="str">
        <f t="shared" si="12"/>
        <v/>
      </c>
      <c r="S57" s="9" t="str">
        <f t="shared" si="13"/>
        <v/>
      </c>
      <c r="T57" s="9" t="str">
        <f t="shared" si="14"/>
        <v/>
      </c>
      <c r="U57" s="9" t="str">
        <f t="shared" si="15"/>
        <v/>
      </c>
      <c r="V57" s="84" t="str">
        <f t="shared" si="16"/>
        <v/>
      </c>
      <c r="W57" s="98" t="str">
        <f t="shared" si="17"/>
        <v/>
      </c>
      <c r="X57" s="103" t="str">
        <f t="shared" si="18"/>
        <v/>
      </c>
      <c r="Y57" s="98" t="str">
        <f t="shared" si="19"/>
        <v/>
      </c>
      <c r="Z57" s="9" t="str">
        <f t="shared" si="20"/>
        <v/>
      </c>
      <c r="AA57" s="9" t="str">
        <f t="shared" si="21"/>
        <v/>
      </c>
      <c r="AB57" s="9" t="str">
        <f t="shared" si="22"/>
        <v/>
      </c>
      <c r="AC57" s="84" t="str">
        <f t="shared" si="23"/>
        <v/>
      </c>
      <c r="AD57" s="169" t="str">
        <f t="shared" si="24"/>
        <v/>
      </c>
      <c r="AE57" s="112" t="str">
        <f t="shared" si="25"/>
        <v/>
      </c>
      <c r="AF57" s="170" t="str">
        <f t="shared" si="26"/>
        <v/>
      </c>
      <c r="AG57" s="146" t="str">
        <f t="shared" si="27"/>
        <v/>
      </c>
      <c r="AH57" s="55" t="str">
        <f t="shared" si="28"/>
        <v/>
      </c>
      <c r="AI57" s="43" t="str">
        <f t="shared" si="29"/>
        <v/>
      </c>
      <c r="AJ57" s="38"/>
      <c r="AR57">
        <v>52</v>
      </c>
      <c r="AS57" t="str">
        <f t="shared" si="34"/>
        <v/>
      </c>
      <c r="AT57" t="str">
        <f t="shared" si="35"/>
        <v/>
      </c>
    </row>
    <row r="58" spans="1:46">
      <c r="A58" t="e">
        <f>IF(OR(RIGHT('RHUMBLINE SAILING'!B61,1)="S",RIGHT('RHUMBLINE SAILING'!B61,1)="s"),-1,1)*(VALUE(LEFT('RHUMBLINE SAILING'!B61,FIND("° ",'RHUMBLINE SAILING'!B61,1)-1))+VALUE(MID('RHUMBLINE SAILING'!B61,(FIND("° ",'RHUMBLINE SAILING'!B61,1)+2),6))/60)</f>
        <v>#VALUE!</v>
      </c>
      <c r="B58" t="e">
        <f>IF(OR(RIGHT('RHUMBLINE SAILING'!C61,1)="W",RIGHT('RHUMBLINE SAILING'!C61,1)="w"),-1,1)*(VALUE(LEFT('RHUMBLINE SAILING'!C61,FIND("° ",'RHUMBLINE SAILING'!C61,1)-1))+VALUE(MID('RHUMBLINE SAILING'!C61,(FIND("° ",'RHUMBLINE SAILING'!C61,1)+2),6))/60)</f>
        <v>#VALUE!</v>
      </c>
      <c r="C58">
        <v>54</v>
      </c>
      <c r="D58" s="165" t="str">
        <f>IF('RHUMBLINE SAILING'!B61="","",IF($D$2=2,'RHUMBLINE SAILING'!B61,TRUNC(A58)*100+(A58-TRUNC(A58))*60))</f>
        <v/>
      </c>
      <c r="E58" s="166" t="str">
        <f>IF('RHUMBLINE SAILING'!C61="","",IF($D$2=2,'RHUMBLINE SAILING'!C61,TRUNC(B58)*100+(B58-TRUNC(B58))*60))</f>
        <v/>
      </c>
      <c r="F58" s="42" t="str">
        <f t="shared" si="0"/>
        <v/>
      </c>
      <c r="G58" s="33" t="str">
        <f t="shared" si="1"/>
        <v/>
      </c>
      <c r="H58" s="33" t="str">
        <f t="shared" si="2"/>
        <v/>
      </c>
      <c r="I58" s="33" t="str">
        <f t="shared" si="3"/>
        <v/>
      </c>
      <c r="J58" s="98" t="str">
        <f t="shared" si="4"/>
        <v/>
      </c>
      <c r="K58" s="33" t="str">
        <f t="shared" si="5"/>
        <v/>
      </c>
      <c r="L58" s="43" t="str">
        <f t="shared" si="6"/>
        <v/>
      </c>
      <c r="M58" s="98" t="str">
        <f t="shared" si="7"/>
        <v/>
      </c>
      <c r="N58" s="9" t="str">
        <f t="shared" si="8"/>
        <v/>
      </c>
      <c r="O58" s="9" t="str">
        <f t="shared" si="9"/>
        <v/>
      </c>
      <c r="P58" s="9" t="str">
        <f t="shared" si="10"/>
        <v/>
      </c>
      <c r="Q58" s="43" t="str">
        <f t="shared" si="11"/>
        <v/>
      </c>
      <c r="R58" s="98" t="str">
        <f t="shared" si="12"/>
        <v/>
      </c>
      <c r="S58" s="9" t="str">
        <f t="shared" si="13"/>
        <v/>
      </c>
      <c r="T58" s="9" t="str">
        <f t="shared" si="14"/>
        <v/>
      </c>
      <c r="U58" s="9" t="str">
        <f t="shared" si="15"/>
        <v/>
      </c>
      <c r="V58" s="84" t="str">
        <f t="shared" si="16"/>
        <v/>
      </c>
      <c r="W58" s="98" t="str">
        <f t="shared" si="17"/>
        <v/>
      </c>
      <c r="X58" s="103" t="str">
        <f t="shared" si="18"/>
        <v/>
      </c>
      <c r="Y58" s="98" t="str">
        <f t="shared" si="19"/>
        <v/>
      </c>
      <c r="Z58" s="9" t="str">
        <f t="shared" si="20"/>
        <v/>
      </c>
      <c r="AA58" s="9" t="str">
        <f t="shared" si="21"/>
        <v/>
      </c>
      <c r="AB58" s="9" t="str">
        <f t="shared" si="22"/>
        <v/>
      </c>
      <c r="AC58" s="84" t="str">
        <f t="shared" si="23"/>
        <v/>
      </c>
      <c r="AD58" s="169" t="str">
        <f t="shared" si="24"/>
        <v/>
      </c>
      <c r="AE58" s="112" t="str">
        <f t="shared" si="25"/>
        <v/>
      </c>
      <c r="AF58" s="170" t="str">
        <f t="shared" si="26"/>
        <v/>
      </c>
      <c r="AG58" s="146" t="str">
        <f t="shared" si="27"/>
        <v/>
      </c>
      <c r="AH58" s="55" t="str">
        <f t="shared" si="28"/>
        <v/>
      </c>
      <c r="AI58" s="43" t="str">
        <f t="shared" si="29"/>
        <v/>
      </c>
      <c r="AJ58" s="38"/>
      <c r="AR58">
        <v>53</v>
      </c>
      <c r="AS58" t="str">
        <f t="shared" si="34"/>
        <v/>
      </c>
      <c r="AT58" t="str">
        <f t="shared" si="35"/>
        <v/>
      </c>
    </row>
    <row r="59" spans="1:46">
      <c r="A59" t="e">
        <f>IF(OR(RIGHT('RHUMBLINE SAILING'!B62,1)="S",RIGHT('RHUMBLINE SAILING'!B62,1)="s"),-1,1)*(VALUE(LEFT('RHUMBLINE SAILING'!B62,FIND("° ",'RHUMBLINE SAILING'!B62,1)-1))+VALUE(MID('RHUMBLINE SAILING'!B62,(FIND("° ",'RHUMBLINE SAILING'!B62,1)+2),6))/60)</f>
        <v>#VALUE!</v>
      </c>
      <c r="B59" t="e">
        <f>IF(OR(RIGHT('RHUMBLINE SAILING'!C62,1)="W",RIGHT('RHUMBLINE SAILING'!C62,1)="w"),-1,1)*(VALUE(LEFT('RHUMBLINE SAILING'!C62,FIND("° ",'RHUMBLINE SAILING'!C62,1)-1))+VALUE(MID('RHUMBLINE SAILING'!C62,(FIND("° ",'RHUMBLINE SAILING'!C62,1)+2),6))/60)</f>
        <v>#VALUE!</v>
      </c>
      <c r="C59">
        <v>55</v>
      </c>
      <c r="D59" s="165" t="str">
        <f>IF('RHUMBLINE SAILING'!B62="","",IF($D$2=2,'RHUMBLINE SAILING'!B62,TRUNC(A59)*100+(A59-TRUNC(A59))*60))</f>
        <v/>
      </c>
      <c r="E59" s="166" t="str">
        <f>IF('RHUMBLINE SAILING'!C62="","",IF($D$2=2,'RHUMBLINE SAILING'!C62,TRUNC(B59)*100+(B59-TRUNC(B59))*60))</f>
        <v/>
      </c>
      <c r="F59" s="42" t="str">
        <f t="shared" si="0"/>
        <v/>
      </c>
      <c r="G59" s="33" t="str">
        <f t="shared" si="1"/>
        <v/>
      </c>
      <c r="H59" s="33" t="str">
        <f t="shared" si="2"/>
        <v/>
      </c>
      <c r="I59" s="33" t="str">
        <f t="shared" si="3"/>
        <v/>
      </c>
      <c r="J59" s="98" t="str">
        <f t="shared" si="4"/>
        <v/>
      </c>
      <c r="K59" s="33" t="str">
        <f t="shared" si="5"/>
        <v/>
      </c>
      <c r="L59" s="43" t="str">
        <f t="shared" si="6"/>
        <v/>
      </c>
      <c r="M59" s="98" t="str">
        <f t="shared" si="7"/>
        <v/>
      </c>
      <c r="N59" s="9" t="str">
        <f t="shared" si="8"/>
        <v/>
      </c>
      <c r="O59" s="9" t="str">
        <f t="shared" si="9"/>
        <v/>
      </c>
      <c r="P59" s="9" t="str">
        <f t="shared" si="10"/>
        <v/>
      </c>
      <c r="Q59" s="43" t="str">
        <f t="shared" si="11"/>
        <v/>
      </c>
      <c r="R59" s="98" t="str">
        <f t="shared" si="12"/>
        <v/>
      </c>
      <c r="S59" s="9" t="str">
        <f t="shared" si="13"/>
        <v/>
      </c>
      <c r="T59" s="9" t="str">
        <f t="shared" si="14"/>
        <v/>
      </c>
      <c r="U59" s="9" t="str">
        <f t="shared" si="15"/>
        <v/>
      </c>
      <c r="V59" s="84" t="str">
        <f t="shared" si="16"/>
        <v/>
      </c>
      <c r="W59" s="98" t="str">
        <f t="shared" si="17"/>
        <v/>
      </c>
      <c r="X59" s="103" t="str">
        <f t="shared" si="18"/>
        <v/>
      </c>
      <c r="Y59" s="98" t="str">
        <f t="shared" si="19"/>
        <v/>
      </c>
      <c r="Z59" s="9" t="str">
        <f t="shared" si="20"/>
        <v/>
      </c>
      <c r="AA59" s="9" t="str">
        <f t="shared" si="21"/>
        <v/>
      </c>
      <c r="AB59" s="9" t="str">
        <f t="shared" si="22"/>
        <v/>
      </c>
      <c r="AC59" s="84" t="str">
        <f t="shared" si="23"/>
        <v/>
      </c>
      <c r="AD59" s="169" t="str">
        <f t="shared" si="24"/>
        <v/>
      </c>
      <c r="AE59" s="112" t="str">
        <f t="shared" si="25"/>
        <v/>
      </c>
      <c r="AF59" s="170" t="str">
        <f t="shared" si="26"/>
        <v/>
      </c>
      <c r="AG59" s="146" t="str">
        <f t="shared" si="27"/>
        <v/>
      </c>
      <c r="AH59" s="55" t="str">
        <f t="shared" si="28"/>
        <v/>
      </c>
      <c r="AI59" s="43" t="str">
        <f t="shared" si="29"/>
        <v/>
      </c>
      <c r="AJ59" s="38"/>
      <c r="AR59">
        <v>54</v>
      </c>
      <c r="AS59" t="str">
        <f t="shared" si="34"/>
        <v/>
      </c>
      <c r="AT59" t="str">
        <f t="shared" si="35"/>
        <v/>
      </c>
    </row>
    <row r="60" spans="1:46">
      <c r="A60" t="e">
        <f>IF(OR(RIGHT('RHUMBLINE SAILING'!B63,1)="S",RIGHT('RHUMBLINE SAILING'!B63,1)="s"),-1,1)*(VALUE(LEFT('RHUMBLINE SAILING'!B63,FIND("° ",'RHUMBLINE SAILING'!B63,1)-1))+VALUE(MID('RHUMBLINE SAILING'!B63,(FIND("° ",'RHUMBLINE SAILING'!B63,1)+2),6))/60)</f>
        <v>#VALUE!</v>
      </c>
      <c r="B60" t="e">
        <f>IF(OR(RIGHT('RHUMBLINE SAILING'!C63,1)="W",RIGHT('RHUMBLINE SAILING'!C63,1)="w"),-1,1)*(VALUE(LEFT('RHUMBLINE SAILING'!C63,FIND("° ",'RHUMBLINE SAILING'!C63,1)-1))+VALUE(MID('RHUMBLINE SAILING'!C63,(FIND("° ",'RHUMBLINE SAILING'!C63,1)+2),6))/60)</f>
        <v>#VALUE!</v>
      </c>
      <c r="C60">
        <v>56</v>
      </c>
      <c r="D60" s="165" t="str">
        <f>IF('RHUMBLINE SAILING'!B63="","",IF($D$2=2,'RHUMBLINE SAILING'!B63,TRUNC(A60)*100+(A60-TRUNC(A60))*60))</f>
        <v/>
      </c>
      <c r="E60" s="166" t="str">
        <f>IF('RHUMBLINE SAILING'!C63="","",IF($D$2=2,'RHUMBLINE SAILING'!C63,TRUNC(B60)*100+(B60-TRUNC(B60))*60))</f>
        <v/>
      </c>
      <c r="F60" s="42" t="str">
        <f t="shared" si="0"/>
        <v/>
      </c>
      <c r="G60" s="33" t="str">
        <f t="shared" si="1"/>
        <v/>
      </c>
      <c r="H60" s="33" t="str">
        <f t="shared" si="2"/>
        <v/>
      </c>
      <c r="I60" s="33" t="str">
        <f t="shared" si="3"/>
        <v/>
      </c>
      <c r="J60" s="98" t="str">
        <f t="shared" si="4"/>
        <v/>
      </c>
      <c r="K60" s="33" t="str">
        <f t="shared" si="5"/>
        <v/>
      </c>
      <c r="L60" s="43" t="str">
        <f t="shared" si="6"/>
        <v/>
      </c>
      <c r="M60" s="98" t="str">
        <f t="shared" si="7"/>
        <v/>
      </c>
      <c r="N60" s="9" t="str">
        <f t="shared" si="8"/>
        <v/>
      </c>
      <c r="O60" s="9" t="str">
        <f t="shared" si="9"/>
        <v/>
      </c>
      <c r="P60" s="9" t="str">
        <f t="shared" si="10"/>
        <v/>
      </c>
      <c r="Q60" s="43" t="str">
        <f t="shared" si="11"/>
        <v/>
      </c>
      <c r="R60" s="98" t="str">
        <f t="shared" si="12"/>
        <v/>
      </c>
      <c r="S60" s="9" t="str">
        <f t="shared" si="13"/>
        <v/>
      </c>
      <c r="T60" s="9" t="str">
        <f t="shared" si="14"/>
        <v/>
      </c>
      <c r="U60" s="9" t="str">
        <f t="shared" si="15"/>
        <v/>
      </c>
      <c r="V60" s="84" t="str">
        <f t="shared" si="16"/>
        <v/>
      </c>
      <c r="W60" s="98" t="str">
        <f t="shared" si="17"/>
        <v/>
      </c>
      <c r="X60" s="103" t="str">
        <f t="shared" si="18"/>
        <v/>
      </c>
      <c r="Y60" s="98" t="str">
        <f t="shared" si="19"/>
        <v/>
      </c>
      <c r="Z60" s="9" t="str">
        <f t="shared" si="20"/>
        <v/>
      </c>
      <c r="AA60" s="9" t="str">
        <f t="shared" si="21"/>
        <v/>
      </c>
      <c r="AB60" s="9" t="str">
        <f t="shared" si="22"/>
        <v/>
      </c>
      <c r="AC60" s="84" t="str">
        <f t="shared" si="23"/>
        <v/>
      </c>
      <c r="AD60" s="169" t="str">
        <f t="shared" si="24"/>
        <v/>
      </c>
      <c r="AE60" s="112" t="str">
        <f t="shared" si="25"/>
        <v/>
      </c>
      <c r="AF60" s="170" t="str">
        <f t="shared" si="26"/>
        <v/>
      </c>
      <c r="AG60" s="146" t="str">
        <f t="shared" si="27"/>
        <v/>
      </c>
      <c r="AH60" s="55" t="str">
        <f t="shared" si="28"/>
        <v/>
      </c>
      <c r="AI60" s="43" t="str">
        <f t="shared" si="29"/>
        <v/>
      </c>
      <c r="AJ60" s="38"/>
      <c r="AR60">
        <v>55</v>
      </c>
      <c r="AS60" t="str">
        <f t="shared" si="34"/>
        <v/>
      </c>
      <c r="AT60" t="str">
        <f t="shared" si="35"/>
        <v/>
      </c>
    </row>
    <row r="61" spans="1:46">
      <c r="A61" t="e">
        <f>IF(OR(RIGHT('RHUMBLINE SAILING'!B64,1)="S",RIGHT('RHUMBLINE SAILING'!B64,1)="s"),-1,1)*(VALUE(LEFT('RHUMBLINE SAILING'!B64,FIND("° ",'RHUMBLINE SAILING'!B64,1)-1))+VALUE(MID('RHUMBLINE SAILING'!B64,(FIND("° ",'RHUMBLINE SAILING'!B64,1)+2),6))/60)</f>
        <v>#VALUE!</v>
      </c>
      <c r="B61" t="e">
        <f>IF(OR(RIGHT('RHUMBLINE SAILING'!C64,1)="W",RIGHT('RHUMBLINE SAILING'!C64,1)="w"),-1,1)*(VALUE(LEFT('RHUMBLINE SAILING'!C64,FIND("° ",'RHUMBLINE SAILING'!C64,1)-1))+VALUE(MID('RHUMBLINE SAILING'!C64,(FIND("° ",'RHUMBLINE SAILING'!C64,1)+2),6))/60)</f>
        <v>#VALUE!</v>
      </c>
      <c r="C61">
        <v>57</v>
      </c>
      <c r="D61" s="165" t="str">
        <f>IF('RHUMBLINE SAILING'!B64="","",IF($D$2=2,'RHUMBLINE SAILING'!B64,TRUNC(A61)*100+(A61-TRUNC(A61))*60))</f>
        <v/>
      </c>
      <c r="E61" s="166" t="str">
        <f>IF('RHUMBLINE SAILING'!C64="","",IF($D$2=2,'RHUMBLINE SAILING'!C64,TRUNC(B61)*100+(B61-TRUNC(B61))*60))</f>
        <v/>
      </c>
      <c r="F61" s="42" t="str">
        <f t="shared" si="0"/>
        <v/>
      </c>
      <c r="G61" s="33" t="str">
        <f t="shared" si="1"/>
        <v/>
      </c>
      <c r="H61" s="33" t="str">
        <f t="shared" si="2"/>
        <v/>
      </c>
      <c r="I61" s="33" t="str">
        <f t="shared" si="3"/>
        <v/>
      </c>
      <c r="J61" s="98" t="str">
        <f t="shared" si="4"/>
        <v/>
      </c>
      <c r="K61" s="33" t="str">
        <f t="shared" si="5"/>
        <v/>
      </c>
      <c r="L61" s="43" t="str">
        <f t="shared" si="6"/>
        <v/>
      </c>
      <c r="M61" s="98" t="str">
        <f t="shared" si="7"/>
        <v/>
      </c>
      <c r="N61" s="9" t="str">
        <f t="shared" si="8"/>
        <v/>
      </c>
      <c r="O61" s="9" t="str">
        <f t="shared" si="9"/>
        <v/>
      </c>
      <c r="P61" s="9" t="str">
        <f t="shared" si="10"/>
        <v/>
      </c>
      <c r="Q61" s="43" t="str">
        <f t="shared" si="11"/>
        <v/>
      </c>
      <c r="R61" s="98" t="str">
        <f t="shared" si="12"/>
        <v/>
      </c>
      <c r="S61" s="9" t="str">
        <f t="shared" si="13"/>
        <v/>
      </c>
      <c r="T61" s="9" t="str">
        <f t="shared" si="14"/>
        <v/>
      </c>
      <c r="U61" s="9" t="str">
        <f t="shared" si="15"/>
        <v/>
      </c>
      <c r="V61" s="84" t="str">
        <f t="shared" si="16"/>
        <v/>
      </c>
      <c r="W61" s="98" t="str">
        <f t="shared" si="17"/>
        <v/>
      </c>
      <c r="X61" s="103" t="str">
        <f t="shared" si="18"/>
        <v/>
      </c>
      <c r="Y61" s="98" t="str">
        <f t="shared" si="19"/>
        <v/>
      </c>
      <c r="Z61" s="9" t="str">
        <f t="shared" si="20"/>
        <v/>
      </c>
      <c r="AA61" s="9" t="str">
        <f t="shared" si="21"/>
        <v/>
      </c>
      <c r="AB61" s="9" t="str">
        <f t="shared" si="22"/>
        <v/>
      </c>
      <c r="AC61" s="84" t="str">
        <f t="shared" si="23"/>
        <v/>
      </c>
      <c r="AD61" s="169" t="str">
        <f t="shared" si="24"/>
        <v/>
      </c>
      <c r="AE61" s="112" t="str">
        <f t="shared" si="25"/>
        <v/>
      </c>
      <c r="AF61" s="170" t="str">
        <f t="shared" si="26"/>
        <v/>
      </c>
      <c r="AG61" s="146" t="str">
        <f t="shared" si="27"/>
        <v/>
      </c>
      <c r="AH61" s="55" t="str">
        <f t="shared" si="28"/>
        <v/>
      </c>
      <c r="AI61" s="43" t="str">
        <f t="shared" si="29"/>
        <v/>
      </c>
      <c r="AJ61" s="38"/>
      <c r="AR61">
        <v>56</v>
      </c>
      <c r="AS61" t="str">
        <f t="shared" si="34"/>
        <v/>
      </c>
      <c r="AT61" t="str">
        <f t="shared" si="35"/>
        <v/>
      </c>
    </row>
    <row r="62" spans="1:46">
      <c r="A62" t="e">
        <f>IF(OR(RIGHT('RHUMBLINE SAILING'!B65,1)="S",RIGHT('RHUMBLINE SAILING'!B65,1)="s"),-1,1)*(VALUE(LEFT('RHUMBLINE SAILING'!B65,FIND("° ",'RHUMBLINE SAILING'!B65,1)-1))+VALUE(MID('RHUMBLINE SAILING'!B65,(FIND("° ",'RHUMBLINE SAILING'!B65,1)+2),6))/60)</f>
        <v>#VALUE!</v>
      </c>
      <c r="B62" t="e">
        <f>IF(OR(RIGHT('RHUMBLINE SAILING'!C65,1)="W",RIGHT('RHUMBLINE SAILING'!C65,1)="w"),-1,1)*(VALUE(LEFT('RHUMBLINE SAILING'!C65,FIND("° ",'RHUMBLINE SAILING'!C65,1)-1))+VALUE(MID('RHUMBLINE SAILING'!C65,(FIND("° ",'RHUMBLINE SAILING'!C65,1)+2),6))/60)</f>
        <v>#VALUE!</v>
      </c>
      <c r="C62">
        <v>58</v>
      </c>
      <c r="D62" s="165" t="str">
        <f>IF('RHUMBLINE SAILING'!B65="","",IF($D$2=2,'RHUMBLINE SAILING'!B65,TRUNC(A62)*100+(A62-TRUNC(A62))*60))</f>
        <v/>
      </c>
      <c r="E62" s="166" t="str">
        <f>IF('RHUMBLINE SAILING'!C65="","",IF($D$2=2,'RHUMBLINE SAILING'!C65,TRUNC(B62)*100+(B62-TRUNC(B62))*60))</f>
        <v/>
      </c>
      <c r="F62" s="42" t="str">
        <f t="shared" si="0"/>
        <v/>
      </c>
      <c r="G62" s="33" t="str">
        <f t="shared" si="1"/>
        <v/>
      </c>
      <c r="H62" s="33" t="str">
        <f t="shared" si="2"/>
        <v/>
      </c>
      <c r="I62" s="33" t="str">
        <f t="shared" si="3"/>
        <v/>
      </c>
      <c r="J62" s="98" t="str">
        <f t="shared" si="4"/>
        <v/>
      </c>
      <c r="K62" s="33" t="str">
        <f t="shared" si="5"/>
        <v/>
      </c>
      <c r="L62" s="43" t="str">
        <f t="shared" si="6"/>
        <v/>
      </c>
      <c r="M62" s="98" t="str">
        <f t="shared" si="7"/>
        <v/>
      </c>
      <c r="N62" s="9" t="str">
        <f t="shared" si="8"/>
        <v/>
      </c>
      <c r="O62" s="9" t="str">
        <f t="shared" si="9"/>
        <v/>
      </c>
      <c r="P62" s="9" t="str">
        <f t="shared" si="10"/>
        <v/>
      </c>
      <c r="Q62" s="43" t="str">
        <f t="shared" si="11"/>
        <v/>
      </c>
      <c r="R62" s="98" t="str">
        <f t="shared" si="12"/>
        <v/>
      </c>
      <c r="S62" s="9" t="str">
        <f t="shared" si="13"/>
        <v/>
      </c>
      <c r="T62" s="9" t="str">
        <f t="shared" si="14"/>
        <v/>
      </c>
      <c r="U62" s="9" t="str">
        <f t="shared" si="15"/>
        <v/>
      </c>
      <c r="V62" s="84" t="str">
        <f t="shared" si="16"/>
        <v/>
      </c>
      <c r="W62" s="98" t="str">
        <f t="shared" si="17"/>
        <v/>
      </c>
      <c r="X62" s="103" t="str">
        <f t="shared" si="18"/>
        <v/>
      </c>
      <c r="Y62" s="98" t="str">
        <f t="shared" si="19"/>
        <v/>
      </c>
      <c r="Z62" s="9" t="str">
        <f t="shared" si="20"/>
        <v/>
      </c>
      <c r="AA62" s="9" t="str">
        <f t="shared" si="21"/>
        <v/>
      </c>
      <c r="AB62" s="9" t="str">
        <f t="shared" si="22"/>
        <v/>
      </c>
      <c r="AC62" s="84" t="str">
        <f t="shared" si="23"/>
        <v/>
      </c>
      <c r="AD62" s="169" t="str">
        <f t="shared" si="24"/>
        <v/>
      </c>
      <c r="AE62" s="112" t="str">
        <f t="shared" si="25"/>
        <v/>
      </c>
      <c r="AF62" s="170" t="str">
        <f t="shared" si="26"/>
        <v/>
      </c>
      <c r="AG62" s="146" t="str">
        <f t="shared" si="27"/>
        <v/>
      </c>
      <c r="AH62" s="55" t="str">
        <f t="shared" si="28"/>
        <v/>
      </c>
      <c r="AI62" s="43" t="str">
        <f t="shared" si="29"/>
        <v/>
      </c>
      <c r="AJ62" s="38"/>
      <c r="AR62">
        <v>57</v>
      </c>
      <c r="AS62" t="str">
        <f t="shared" si="34"/>
        <v/>
      </c>
      <c r="AT62" t="str">
        <f t="shared" si="35"/>
        <v/>
      </c>
    </row>
    <row r="63" spans="1:46">
      <c r="A63" t="e">
        <f>IF(OR(RIGHT('RHUMBLINE SAILING'!B66,1)="S",RIGHT('RHUMBLINE SAILING'!B66,1)="s"),-1,1)*(VALUE(LEFT('RHUMBLINE SAILING'!B66,FIND("° ",'RHUMBLINE SAILING'!B66,1)-1))+VALUE(MID('RHUMBLINE SAILING'!B66,(FIND("° ",'RHUMBLINE SAILING'!B66,1)+2),6))/60)</f>
        <v>#VALUE!</v>
      </c>
      <c r="B63" t="e">
        <f>IF(OR(RIGHT('RHUMBLINE SAILING'!C66,1)="W",RIGHT('RHUMBLINE SAILING'!C66,1)="w"),-1,1)*(VALUE(LEFT('RHUMBLINE SAILING'!C66,FIND("° ",'RHUMBLINE SAILING'!C66,1)-1))+VALUE(MID('RHUMBLINE SAILING'!C66,(FIND("° ",'RHUMBLINE SAILING'!C66,1)+2),6))/60)</f>
        <v>#VALUE!</v>
      </c>
      <c r="C63">
        <v>59</v>
      </c>
      <c r="D63" s="165" t="str">
        <f>IF('RHUMBLINE SAILING'!B66="","",IF($D$2=2,'RHUMBLINE SAILING'!B66,TRUNC(A63)*100+(A63-TRUNC(A63))*60))</f>
        <v/>
      </c>
      <c r="E63" s="166" t="str">
        <f>IF('RHUMBLINE SAILING'!C66="","",IF($D$2=2,'RHUMBLINE SAILING'!C66,TRUNC(B63)*100+(B63-TRUNC(B63))*60))</f>
        <v/>
      </c>
      <c r="F63" s="42" t="str">
        <f t="shared" si="0"/>
        <v/>
      </c>
      <c r="G63" s="33" t="str">
        <f t="shared" si="1"/>
        <v/>
      </c>
      <c r="H63" s="33" t="str">
        <f t="shared" si="2"/>
        <v/>
      </c>
      <c r="I63" s="33" t="str">
        <f t="shared" si="3"/>
        <v/>
      </c>
      <c r="J63" s="98" t="str">
        <f t="shared" si="4"/>
        <v/>
      </c>
      <c r="K63" s="33" t="str">
        <f t="shared" si="5"/>
        <v/>
      </c>
      <c r="L63" s="43" t="str">
        <f t="shared" si="6"/>
        <v/>
      </c>
      <c r="M63" s="98" t="str">
        <f t="shared" si="7"/>
        <v/>
      </c>
      <c r="N63" s="9" t="str">
        <f t="shared" si="8"/>
        <v/>
      </c>
      <c r="O63" s="9" t="str">
        <f t="shared" si="9"/>
        <v/>
      </c>
      <c r="P63" s="9" t="str">
        <f t="shared" si="10"/>
        <v/>
      </c>
      <c r="Q63" s="43" t="str">
        <f t="shared" si="11"/>
        <v/>
      </c>
      <c r="R63" s="98" t="str">
        <f t="shared" si="12"/>
        <v/>
      </c>
      <c r="S63" s="9" t="str">
        <f t="shared" si="13"/>
        <v/>
      </c>
      <c r="T63" s="9" t="str">
        <f t="shared" si="14"/>
        <v/>
      </c>
      <c r="U63" s="9" t="str">
        <f t="shared" si="15"/>
        <v/>
      </c>
      <c r="V63" s="84" t="str">
        <f t="shared" si="16"/>
        <v/>
      </c>
      <c r="W63" s="98" t="str">
        <f t="shared" si="17"/>
        <v/>
      </c>
      <c r="X63" s="103" t="str">
        <f t="shared" si="18"/>
        <v/>
      </c>
      <c r="Y63" s="98" t="str">
        <f t="shared" si="19"/>
        <v/>
      </c>
      <c r="Z63" s="9" t="str">
        <f t="shared" si="20"/>
        <v/>
      </c>
      <c r="AA63" s="9" t="str">
        <f t="shared" si="21"/>
        <v/>
      </c>
      <c r="AB63" s="9" t="str">
        <f t="shared" si="22"/>
        <v/>
      </c>
      <c r="AC63" s="84" t="str">
        <f t="shared" si="23"/>
        <v/>
      </c>
      <c r="AD63" s="169" t="str">
        <f t="shared" si="24"/>
        <v/>
      </c>
      <c r="AE63" s="112" t="str">
        <f t="shared" si="25"/>
        <v/>
      </c>
      <c r="AF63" s="170" t="str">
        <f t="shared" si="26"/>
        <v/>
      </c>
      <c r="AG63" s="146" t="str">
        <f t="shared" si="27"/>
        <v/>
      </c>
      <c r="AH63" s="55" t="str">
        <f t="shared" si="28"/>
        <v/>
      </c>
      <c r="AI63" s="43" t="str">
        <f t="shared" si="29"/>
        <v/>
      </c>
      <c r="AJ63" s="38"/>
      <c r="AR63">
        <v>58</v>
      </c>
      <c r="AS63" t="str">
        <f t="shared" si="34"/>
        <v/>
      </c>
      <c r="AT63" t="str">
        <f t="shared" si="35"/>
        <v/>
      </c>
    </row>
    <row r="64" spans="1:46" ht="13.5" thickBot="1">
      <c r="A64" t="e">
        <f>IF(OR(RIGHT('RHUMBLINE SAILING'!B67,1)="S",RIGHT('RHUMBLINE SAILING'!B67,1)="s"),-1,1)*(VALUE(LEFT('RHUMBLINE SAILING'!B67,FIND("° ",'RHUMBLINE SAILING'!B67,1)-1))+VALUE(MID('RHUMBLINE SAILING'!B67,(FIND("° ",'RHUMBLINE SAILING'!B67,1)+2),6))/60)</f>
        <v>#VALUE!</v>
      </c>
      <c r="B64" t="e">
        <f>IF(OR(RIGHT('RHUMBLINE SAILING'!C67,1)="W",RIGHT('RHUMBLINE SAILING'!C67,1)="w"),-1,1)*(VALUE(LEFT('RHUMBLINE SAILING'!C67,FIND("° ",'RHUMBLINE SAILING'!C67,1)-1))+VALUE(MID('RHUMBLINE SAILING'!C67,(FIND("° ",'RHUMBLINE SAILING'!C67,1)+2),6))/60)</f>
        <v>#VALUE!</v>
      </c>
      <c r="C64">
        <v>60</v>
      </c>
      <c r="D64" s="167" t="str">
        <f>IF('RHUMBLINE SAILING'!B67="","",IF($D$2=2,'RHUMBLINE SAILING'!B67,TRUNC(A64)*100+(A64-TRUNC(A64))*60))</f>
        <v/>
      </c>
      <c r="E64" s="168" t="str">
        <f>IF('RHUMBLINE SAILING'!C67="","",IF($D$2=2,'RHUMBLINE SAILING'!C67,TRUNC(B64)*100+(B64-TRUNC(B64))*60))</f>
        <v/>
      </c>
      <c r="F64" s="44" t="str">
        <f t="shared" si="0"/>
        <v/>
      </c>
      <c r="G64" s="45" t="str">
        <f t="shared" si="1"/>
        <v/>
      </c>
      <c r="H64" s="45" t="str">
        <f t="shared" si="2"/>
        <v/>
      </c>
      <c r="I64" s="45" t="str">
        <f t="shared" si="3"/>
        <v/>
      </c>
      <c r="J64" s="70"/>
      <c r="K64" s="45"/>
      <c r="L64" s="46"/>
      <c r="M64" s="44"/>
      <c r="N64" s="45"/>
      <c r="O64" s="45"/>
      <c r="P64" s="45"/>
      <c r="Q64" s="46"/>
      <c r="R64" s="44"/>
      <c r="S64" s="45"/>
      <c r="T64" s="139"/>
      <c r="U64" s="45"/>
      <c r="V64" s="46"/>
      <c r="W64" s="44"/>
      <c r="X64" s="46"/>
      <c r="Y64" s="44"/>
      <c r="Z64" s="45"/>
      <c r="AA64" s="45"/>
      <c r="AB64" s="45"/>
      <c r="AC64" s="46"/>
      <c r="AD64" s="78"/>
      <c r="AE64" s="113" t="str">
        <f t="shared" si="25"/>
        <v/>
      </c>
      <c r="AF64" s="171" t="str">
        <f t="shared" si="26"/>
        <v/>
      </c>
      <c r="AG64" s="145"/>
      <c r="AH64" s="145"/>
      <c r="AI64" s="53"/>
      <c r="AJ64" s="38"/>
      <c r="AR64">
        <v>59</v>
      </c>
      <c r="AS64" t="str">
        <f t="shared" si="34"/>
        <v/>
      </c>
      <c r="AT64" t="str">
        <f t="shared" si="35"/>
        <v/>
      </c>
    </row>
    <row r="65" spans="31:36">
      <c r="AE65" s="38"/>
      <c r="AF65" s="38"/>
      <c r="AG65" s="38"/>
      <c r="AH65" s="38"/>
      <c r="AI65" s="38"/>
      <c r="AJ65" s="38"/>
    </row>
    <row r="66" spans="31:36">
      <c r="AE66" s="38"/>
      <c r="AF66" s="38"/>
      <c r="AG66" s="38"/>
      <c r="AH66" s="38"/>
      <c r="AI66" s="38"/>
      <c r="AJ66" s="38"/>
    </row>
    <row r="67" spans="31:36">
      <c r="AE67" s="38"/>
      <c r="AF67" s="38"/>
      <c r="AG67" s="38"/>
      <c r="AH67" s="38"/>
      <c r="AI67" s="38"/>
      <c r="AJ67" s="38"/>
    </row>
    <row r="68" spans="31:36">
      <c r="AE68" s="38"/>
      <c r="AF68" s="38"/>
      <c r="AG68" s="38"/>
      <c r="AH68" s="38"/>
      <c r="AI68" s="38"/>
      <c r="AJ68" s="38"/>
    </row>
  </sheetData>
  <mergeCells count="5">
    <mergeCell ref="J3:L3"/>
    <mergeCell ref="M3:Q3"/>
    <mergeCell ref="R3:V3"/>
    <mergeCell ref="W3:X3"/>
    <mergeCell ref="Y3:A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4"/>
  <sheetViews>
    <sheetView view="pageBreakPreview" zoomScaleNormal="100" zoomScaleSheetLayoutView="100" zoomScalePageLayoutView="70" workbookViewId="0">
      <selection activeCell="J2" sqref="J2"/>
    </sheetView>
  </sheetViews>
  <sheetFormatPr defaultRowHeight="12.75"/>
  <cols>
    <col min="3" max="4" width="13.140625" customWidth="1"/>
    <col min="6" max="6" width="11" customWidth="1"/>
    <col min="7" max="7" width="4.85546875" customWidth="1"/>
    <col min="8" max="8" width="11.5703125" customWidth="1"/>
    <col min="13" max="13" width="15.85546875" customWidth="1"/>
  </cols>
  <sheetData>
    <row r="1" spans="1:13" ht="20.25">
      <c r="A1" s="256" t="str">
        <f>'GREAT CIRCLE'!K2</f>
        <v>WP Great Circle Sailing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</row>
    <row r="2" spans="1:13">
      <c r="C2" s="5" t="s">
        <v>3</v>
      </c>
      <c r="D2" s="5" t="s">
        <v>4</v>
      </c>
      <c r="F2" s="231"/>
    </row>
    <row r="3" spans="1:13">
      <c r="A3" s="237" t="s">
        <v>76</v>
      </c>
      <c r="B3" s="237"/>
      <c r="C3" s="233">
        <f>'GREAT CIRCLE'!C4</f>
        <v>4620</v>
      </c>
      <c r="D3" s="234">
        <f>'GREAT CIRCLE'!D4</f>
        <v>14030</v>
      </c>
      <c r="F3" s="232" t="str">
        <f>'GREAT CIRCLE'!A8</f>
        <v>WP NR.</v>
      </c>
      <c r="G3" s="235">
        <f>IF(F3="","",'GREAT CIRCLE'!C8)</f>
        <v>5</v>
      </c>
      <c r="H3" t="str">
        <f>GC!M3</f>
        <v/>
      </c>
    </row>
    <row r="4" spans="1:13">
      <c r="A4" s="237" t="s">
        <v>10</v>
      </c>
      <c r="B4" s="237"/>
      <c r="C4" s="233">
        <f>'GREAT CIRCLE'!C5</f>
        <v>3500</v>
      </c>
      <c r="D4" s="234">
        <f>'GREAT CIRCLE'!D5</f>
        <v>-12430</v>
      </c>
      <c r="F4" s="232" t="str">
        <f>'GREAT CIRCLE'!E8</f>
        <v/>
      </c>
      <c r="G4" s="257" t="str">
        <f>IF(F4="","",'GREAT CIRCLE'!F8)</f>
        <v/>
      </c>
      <c r="H4" s="257"/>
    </row>
  </sheetData>
  <sheetProtection password="CC15" sheet="1" objects="1" scenarios="1" formatCells="0" formatColumns="0" formatRows="0" insertColumns="0" insertRows="0" insertHyperlinks="0" deleteColumns="0" deleteRows="0" sort="0" autoFilter="0" pivotTables="0"/>
  <mergeCells count="4">
    <mergeCell ref="A1:M1"/>
    <mergeCell ref="A3:B3"/>
    <mergeCell ref="A4:B4"/>
    <mergeCell ref="G4:H4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L67"/>
  <sheetViews>
    <sheetView view="pageBreakPreview" zoomScaleNormal="100" zoomScaleSheetLayoutView="100" workbookViewId="0">
      <selection activeCell="J24" sqref="J24"/>
    </sheetView>
  </sheetViews>
  <sheetFormatPr defaultRowHeight="12.75"/>
  <cols>
    <col min="1" max="1" width="7.7109375" customWidth="1"/>
    <col min="2" max="3" width="13.7109375" customWidth="1"/>
    <col min="4" max="4" width="8.7109375" customWidth="1"/>
    <col min="5" max="7" width="10.7109375" customWidth="1"/>
    <col min="12" max="12" width="11.42578125" customWidth="1"/>
  </cols>
  <sheetData>
    <row r="2" spans="1:12" ht="15" customHeight="1">
      <c r="A2" s="259" t="s">
        <v>72</v>
      </c>
      <c r="B2" s="259"/>
      <c r="C2" s="259"/>
      <c r="D2" s="261" t="s">
        <v>9</v>
      </c>
      <c r="E2" s="261"/>
      <c r="F2" s="261"/>
    </row>
    <row r="3" spans="1:12" ht="14.25" customHeight="1">
      <c r="A3" s="260" t="s">
        <v>11</v>
      </c>
      <c r="B3" s="260"/>
      <c r="C3" s="260"/>
      <c r="D3" s="262" t="s">
        <v>28</v>
      </c>
      <c r="E3" s="262"/>
      <c r="F3" s="262"/>
    </row>
    <row r="4" spans="1:12" ht="14.25" customHeight="1">
      <c r="A4" s="258" t="s">
        <v>71</v>
      </c>
      <c r="B4" s="258"/>
      <c r="C4" s="258"/>
      <c r="D4" s="261" t="s">
        <v>15</v>
      </c>
      <c r="E4" s="261"/>
      <c r="F4" s="261"/>
    </row>
    <row r="5" spans="1:12" ht="15">
      <c r="A5" s="258" t="s">
        <v>70</v>
      </c>
      <c r="B5" s="258"/>
      <c r="C5" s="258"/>
      <c r="D5" s="261" t="s">
        <v>15</v>
      </c>
      <c r="E5" s="261"/>
      <c r="F5" s="261"/>
    </row>
    <row r="6" spans="1:12" ht="13.5" thickBot="1">
      <c r="K6" s="125"/>
      <c r="L6" s="32"/>
    </row>
    <row r="7" spans="1:12">
      <c r="A7" s="164" t="s">
        <v>19</v>
      </c>
      <c r="B7" s="163" t="s">
        <v>20</v>
      </c>
      <c r="C7" s="163" t="s">
        <v>21</v>
      </c>
      <c r="D7" s="162" t="s">
        <v>22</v>
      </c>
      <c r="E7" s="162" t="s">
        <v>2</v>
      </c>
      <c r="F7" s="161" t="s">
        <v>23</v>
      </c>
    </row>
    <row r="8" spans="1:12">
      <c r="A8" s="160">
        <v>0</v>
      </c>
      <c r="B8" s="158">
        <v>604.70000000000005</v>
      </c>
      <c r="C8" s="157">
        <v>114.8</v>
      </c>
      <c r="D8" s="156">
        <f>C_R!AG5</f>
        <v>183</v>
      </c>
      <c r="E8" s="155">
        <f>C_R!AH5</f>
        <v>34.81</v>
      </c>
      <c r="F8" s="154">
        <f>C_R!AI5</f>
        <v>4835.0099999999984</v>
      </c>
    </row>
    <row r="9" spans="1:12">
      <c r="A9" s="159">
        <f t="shared" ref="A9:A40" si="0">IF(B9="","",A8+1)</f>
        <v>1</v>
      </c>
      <c r="B9" s="158">
        <v>530</v>
      </c>
      <c r="C9" s="157">
        <v>113</v>
      </c>
      <c r="D9" s="156">
        <f>C_R!AG6</f>
        <v>242.5</v>
      </c>
      <c r="E9" s="155">
        <f>C_R!AH6</f>
        <v>217.18</v>
      </c>
      <c r="F9" s="154">
        <f>C_R!AI6</f>
        <v>4800.199999999998</v>
      </c>
    </row>
    <row r="10" spans="1:12">
      <c r="A10" s="159">
        <f t="shared" si="0"/>
        <v>2</v>
      </c>
      <c r="B10" s="158">
        <v>350</v>
      </c>
      <c r="C10" s="157">
        <v>-200</v>
      </c>
      <c r="D10" s="156">
        <f>C_R!AG7</f>
        <v>270</v>
      </c>
      <c r="E10" s="155">
        <f>C_R!AH7</f>
        <v>359.84</v>
      </c>
      <c r="F10" s="154">
        <f>C_R!AI7</f>
        <v>4583.0199999999977</v>
      </c>
    </row>
    <row r="11" spans="1:12">
      <c r="A11" s="159">
        <f t="shared" si="0"/>
        <v>3</v>
      </c>
      <c r="B11" s="158">
        <v>350</v>
      </c>
      <c r="C11" s="157">
        <v>-800</v>
      </c>
      <c r="D11" s="156">
        <f>C_R!AG8</f>
        <v>300.39999999999998</v>
      </c>
      <c r="E11" s="155">
        <f>C_R!AH8</f>
        <v>277.54000000000002</v>
      </c>
      <c r="F11" s="154">
        <f>C_R!AI8</f>
        <v>4223.1799999999976</v>
      </c>
    </row>
    <row r="12" spans="1:12">
      <c r="A12" s="159">
        <f t="shared" si="0"/>
        <v>4</v>
      </c>
      <c r="B12" s="158">
        <v>610</v>
      </c>
      <c r="C12" s="157">
        <v>-1200</v>
      </c>
      <c r="D12" s="156">
        <f>C_R!AG9</f>
        <v>303.89999999999998</v>
      </c>
      <c r="E12" s="155">
        <f>C_R!AH9</f>
        <v>143.77000000000001</v>
      </c>
      <c r="F12" s="154">
        <f>C_R!AI9</f>
        <v>3945.6399999999976</v>
      </c>
    </row>
    <row r="13" spans="1:12">
      <c r="A13" s="159">
        <f t="shared" si="0"/>
        <v>5</v>
      </c>
      <c r="B13" s="158">
        <v>730</v>
      </c>
      <c r="C13" s="157">
        <v>-1400</v>
      </c>
      <c r="D13" s="156">
        <f>C_R!AG10</f>
        <v>303</v>
      </c>
      <c r="E13" s="155">
        <f>C_R!AH10</f>
        <v>785.06</v>
      </c>
      <c r="F13" s="154">
        <f>C_R!AI10</f>
        <v>3801.8699999999976</v>
      </c>
    </row>
    <row r="14" spans="1:12">
      <c r="A14" s="159">
        <f t="shared" si="0"/>
        <v>6</v>
      </c>
      <c r="B14" s="158">
        <v>1437</v>
      </c>
      <c r="C14" s="157">
        <v>-2510</v>
      </c>
      <c r="D14" s="156">
        <f>C_R!AG11</f>
        <v>305.8</v>
      </c>
      <c r="E14" s="155">
        <f>C_R!AH11</f>
        <v>343.63</v>
      </c>
      <c r="F14" s="154">
        <f>C_R!AI11</f>
        <v>3016.8099999999977</v>
      </c>
    </row>
    <row r="15" spans="1:12">
      <c r="A15" s="159">
        <f t="shared" si="0"/>
        <v>7</v>
      </c>
      <c r="B15" s="158">
        <v>1757.5</v>
      </c>
      <c r="C15" s="157">
        <v>-3000</v>
      </c>
      <c r="D15" s="156">
        <f>C_R!AG12</f>
        <v>304.2</v>
      </c>
      <c r="E15" s="155">
        <f>C_R!AH12</f>
        <v>342.52</v>
      </c>
      <c r="F15" s="154">
        <f>C_R!AI12</f>
        <v>2673.1799999999976</v>
      </c>
    </row>
    <row r="16" spans="1:12">
      <c r="A16" s="159">
        <f t="shared" si="0"/>
        <v>8</v>
      </c>
      <c r="B16" s="158">
        <v>2109.9</v>
      </c>
      <c r="C16" s="157">
        <v>-3500</v>
      </c>
      <c r="D16" s="156">
        <f>C_R!AG13</f>
        <v>302.39999999999998</v>
      </c>
      <c r="E16" s="155">
        <f>C_R!AH13</f>
        <v>328.65</v>
      </c>
      <c r="F16" s="154">
        <f>C_R!AI13</f>
        <v>2330.6599999999976</v>
      </c>
    </row>
    <row r="17" spans="1:6">
      <c r="A17" s="159">
        <f t="shared" si="0"/>
        <v>9</v>
      </c>
      <c r="B17" s="158">
        <v>2405.9</v>
      </c>
      <c r="C17" s="157">
        <v>-4000</v>
      </c>
      <c r="D17" s="156">
        <f>C_R!AG14</f>
        <v>300.39999999999998</v>
      </c>
      <c r="E17" s="155">
        <f>C_R!AH14</f>
        <v>314.69</v>
      </c>
      <c r="F17" s="154">
        <f>C_R!AI14</f>
        <v>2002.0099999999975</v>
      </c>
    </row>
    <row r="18" spans="1:6">
      <c r="A18" s="159">
        <f t="shared" si="0"/>
        <v>10</v>
      </c>
      <c r="B18" s="158">
        <v>2644.9</v>
      </c>
      <c r="C18" s="157">
        <v>-4500</v>
      </c>
      <c r="D18" s="156">
        <f>C_R!AG15</f>
        <v>298.10000000000002</v>
      </c>
      <c r="E18" s="155">
        <f>C_R!AH15</f>
        <v>301.12</v>
      </c>
      <c r="F18" s="154">
        <f>C_R!AI15</f>
        <v>1687.3199999999974</v>
      </c>
    </row>
    <row r="19" spans="1:6">
      <c r="A19" s="159">
        <f t="shared" si="0"/>
        <v>11</v>
      </c>
      <c r="B19" s="158">
        <v>2906.7</v>
      </c>
      <c r="C19" s="157">
        <v>-5000</v>
      </c>
      <c r="D19" s="156">
        <f>C_R!AG16</f>
        <v>295.7</v>
      </c>
      <c r="E19" s="155">
        <f>C_R!AH16</f>
        <v>288.45</v>
      </c>
      <c r="F19" s="154">
        <f>C_R!AI16</f>
        <v>1386.1999999999975</v>
      </c>
    </row>
    <row r="20" spans="1:6">
      <c r="A20" s="159">
        <f t="shared" si="0"/>
        <v>12</v>
      </c>
      <c r="B20" s="158">
        <v>3111.7</v>
      </c>
      <c r="C20" s="157">
        <v>-5500</v>
      </c>
      <c r="D20" s="156">
        <f>C_R!AG17</f>
        <v>293.10000000000002</v>
      </c>
      <c r="E20" s="155">
        <f>C_R!AH17</f>
        <v>276.85000000000002</v>
      </c>
      <c r="F20" s="154">
        <f>C_R!AI17</f>
        <v>1097.7499999999975</v>
      </c>
    </row>
    <row r="21" spans="1:6">
      <c r="A21" s="159">
        <f t="shared" si="0"/>
        <v>13</v>
      </c>
      <c r="B21" s="158">
        <v>3300.3</v>
      </c>
      <c r="C21" s="157">
        <v>-6000</v>
      </c>
      <c r="D21" s="156">
        <f>C_R!AG18</f>
        <v>290.39999999999998</v>
      </c>
      <c r="E21" s="155">
        <f>C_R!AH18</f>
        <v>266.52999999999997</v>
      </c>
      <c r="F21" s="154">
        <f>C_R!AI18</f>
        <v>820.89999999999748</v>
      </c>
    </row>
    <row r="22" spans="1:6">
      <c r="A22" s="159">
        <f t="shared" si="0"/>
        <v>14</v>
      </c>
      <c r="B22" s="158">
        <v>3433.1</v>
      </c>
      <c r="C22" s="157">
        <v>-6500</v>
      </c>
      <c r="D22" s="156">
        <f>C_R!AG19</f>
        <v>287.60000000000002</v>
      </c>
      <c r="E22" s="155">
        <f>C_R!AH19</f>
        <v>257.62</v>
      </c>
      <c r="F22" s="154">
        <f>C_R!AI19</f>
        <v>554.3699999999975</v>
      </c>
    </row>
    <row r="23" spans="1:6">
      <c r="A23" s="159">
        <f t="shared" si="0"/>
        <v>15</v>
      </c>
      <c r="B23" s="158">
        <v>3550.8</v>
      </c>
      <c r="C23" s="157">
        <v>-7000</v>
      </c>
      <c r="D23" s="156">
        <f>C_R!AG20</f>
        <v>284.7</v>
      </c>
      <c r="E23" s="155">
        <f>C_R!AH20</f>
        <v>250.12</v>
      </c>
      <c r="F23" s="154">
        <f>C_R!AI20</f>
        <v>296.7499999999975</v>
      </c>
    </row>
    <row r="24" spans="1:6">
      <c r="A24" s="159">
        <f t="shared" si="0"/>
        <v>16</v>
      </c>
      <c r="B24" s="158">
        <v>3654</v>
      </c>
      <c r="C24" s="157">
        <v>-7500</v>
      </c>
      <c r="D24" s="156">
        <f>C_R!AG21</f>
        <v>283</v>
      </c>
      <c r="E24" s="155">
        <f>C_R!AH21</f>
        <v>16.440000000000001</v>
      </c>
      <c r="F24" s="154">
        <f>C_R!AI21</f>
        <v>46.629999999997494</v>
      </c>
    </row>
    <row r="25" spans="1:6">
      <c r="A25" s="159">
        <f t="shared" si="0"/>
        <v>17</v>
      </c>
      <c r="B25" s="158">
        <v>3657.7</v>
      </c>
      <c r="C25" s="157">
        <v>-7520</v>
      </c>
      <c r="D25" s="156">
        <f>C_R!AG22</f>
        <v>270</v>
      </c>
      <c r="E25" s="155">
        <f>C_R!AH22</f>
        <v>22.65</v>
      </c>
      <c r="F25" s="154">
        <f>C_R!AI22</f>
        <v>30.189999999997493</v>
      </c>
    </row>
    <row r="26" spans="1:6">
      <c r="A26" s="159">
        <f t="shared" si="0"/>
        <v>18</v>
      </c>
      <c r="B26" s="158">
        <v>3657.7</v>
      </c>
      <c r="C26" s="157">
        <v>-7548.3</v>
      </c>
      <c r="D26" s="156">
        <f>C_R!AG23</f>
        <v>251.4</v>
      </c>
      <c r="E26" s="155">
        <f>C_R!AH23</f>
        <v>3.46</v>
      </c>
      <c r="F26" s="154">
        <f>C_R!AI23</f>
        <v>7.5399999999974945</v>
      </c>
    </row>
    <row r="27" spans="1:6">
      <c r="A27" s="159">
        <f t="shared" si="0"/>
        <v>19</v>
      </c>
      <c r="B27" s="158">
        <v>3656.6</v>
      </c>
      <c r="C27" s="157">
        <v>-7552.4</v>
      </c>
      <c r="D27" s="156">
        <f>C_R!AG24</f>
        <v>270</v>
      </c>
      <c r="E27" s="155">
        <f>C_R!AH24</f>
        <v>4.08</v>
      </c>
      <c r="F27" s="154">
        <f>C_R!AI24</f>
        <v>4.0799999999974945</v>
      </c>
    </row>
    <row r="28" spans="1:6">
      <c r="A28" s="159">
        <f t="shared" si="0"/>
        <v>20</v>
      </c>
      <c r="B28" s="158">
        <v>3656.6</v>
      </c>
      <c r="C28" s="157">
        <v>-7557.5</v>
      </c>
      <c r="D28" s="156" t="str">
        <f>C_R!AG25</f>
        <v/>
      </c>
      <c r="E28" s="155" t="str">
        <f>C_R!AH25</f>
        <v/>
      </c>
      <c r="F28" s="154" t="str">
        <f>C_R!AI25</f>
        <v/>
      </c>
    </row>
    <row r="29" spans="1:6">
      <c r="A29" s="159" t="str">
        <f t="shared" si="0"/>
        <v/>
      </c>
      <c r="B29" s="158"/>
      <c r="C29" s="157"/>
      <c r="D29" s="156" t="str">
        <f>C_R!AG26</f>
        <v/>
      </c>
      <c r="E29" s="155" t="str">
        <f>C_R!AH26</f>
        <v/>
      </c>
      <c r="F29" s="154" t="str">
        <f>C_R!AI26</f>
        <v/>
      </c>
    </row>
    <row r="30" spans="1:6">
      <c r="A30" s="159" t="str">
        <f t="shared" si="0"/>
        <v/>
      </c>
      <c r="B30" s="158"/>
      <c r="C30" s="157"/>
      <c r="D30" s="156" t="str">
        <f>C_R!AG27</f>
        <v/>
      </c>
      <c r="E30" s="155" t="str">
        <f>C_R!AH27</f>
        <v/>
      </c>
      <c r="F30" s="154" t="str">
        <f>C_R!AI27</f>
        <v/>
      </c>
    </row>
    <row r="31" spans="1:6">
      <c r="A31" s="159" t="str">
        <f t="shared" si="0"/>
        <v/>
      </c>
      <c r="B31" s="158"/>
      <c r="C31" s="157"/>
      <c r="D31" s="156" t="str">
        <f>C_R!AG28</f>
        <v/>
      </c>
      <c r="E31" s="155" t="str">
        <f>C_R!AH28</f>
        <v/>
      </c>
      <c r="F31" s="154" t="str">
        <f>C_R!AI28</f>
        <v/>
      </c>
    </row>
    <row r="32" spans="1:6">
      <c r="A32" s="159" t="str">
        <f t="shared" si="0"/>
        <v/>
      </c>
      <c r="B32" s="158"/>
      <c r="C32" s="157"/>
      <c r="D32" s="156" t="str">
        <f>C_R!AG29</f>
        <v/>
      </c>
      <c r="E32" s="155" t="str">
        <f>C_R!AH29</f>
        <v/>
      </c>
      <c r="F32" s="154" t="str">
        <f>C_R!AI29</f>
        <v/>
      </c>
    </row>
    <row r="33" spans="1:6">
      <c r="A33" s="159" t="str">
        <f t="shared" si="0"/>
        <v/>
      </c>
      <c r="B33" s="158"/>
      <c r="C33" s="157"/>
      <c r="D33" s="156" t="str">
        <f>C_R!AG30</f>
        <v/>
      </c>
      <c r="E33" s="155" t="str">
        <f>C_R!AH30</f>
        <v/>
      </c>
      <c r="F33" s="154" t="str">
        <f>C_R!AI30</f>
        <v/>
      </c>
    </row>
    <row r="34" spans="1:6">
      <c r="A34" s="159" t="str">
        <f t="shared" si="0"/>
        <v/>
      </c>
      <c r="B34" s="158"/>
      <c r="C34" s="157"/>
      <c r="D34" s="156" t="str">
        <f>C_R!AG31</f>
        <v/>
      </c>
      <c r="E34" s="155" t="str">
        <f>C_R!AH31</f>
        <v/>
      </c>
      <c r="F34" s="154" t="str">
        <f>C_R!AI31</f>
        <v/>
      </c>
    </row>
    <row r="35" spans="1:6">
      <c r="A35" s="159" t="str">
        <f t="shared" si="0"/>
        <v/>
      </c>
      <c r="B35" s="158"/>
      <c r="C35" s="157"/>
      <c r="D35" s="156" t="str">
        <f>C_R!AG32</f>
        <v/>
      </c>
      <c r="E35" s="155" t="str">
        <f>C_R!AH32</f>
        <v/>
      </c>
      <c r="F35" s="154" t="str">
        <f>C_R!AI32</f>
        <v/>
      </c>
    </row>
    <row r="36" spans="1:6">
      <c r="A36" s="159" t="str">
        <f t="shared" si="0"/>
        <v/>
      </c>
      <c r="B36" s="158"/>
      <c r="C36" s="157"/>
      <c r="D36" s="156" t="str">
        <f>C_R!AG33</f>
        <v/>
      </c>
      <c r="E36" s="155" t="str">
        <f>C_R!AH33</f>
        <v/>
      </c>
      <c r="F36" s="154" t="str">
        <f>C_R!AI33</f>
        <v/>
      </c>
    </row>
    <row r="37" spans="1:6">
      <c r="A37" s="159" t="str">
        <f t="shared" si="0"/>
        <v/>
      </c>
      <c r="B37" s="158"/>
      <c r="C37" s="157"/>
      <c r="D37" s="156" t="str">
        <f>C_R!AG34</f>
        <v/>
      </c>
      <c r="E37" s="155" t="str">
        <f>C_R!AH34</f>
        <v/>
      </c>
      <c r="F37" s="154" t="str">
        <f>C_R!AI34</f>
        <v/>
      </c>
    </row>
    <row r="38" spans="1:6">
      <c r="A38" s="159" t="str">
        <f t="shared" si="0"/>
        <v/>
      </c>
      <c r="B38" s="158"/>
      <c r="C38" s="157"/>
      <c r="D38" s="156" t="str">
        <f>C_R!AG35</f>
        <v/>
      </c>
      <c r="E38" s="155" t="str">
        <f>C_R!AH35</f>
        <v/>
      </c>
      <c r="F38" s="154" t="str">
        <f>C_R!AI35</f>
        <v/>
      </c>
    </row>
    <row r="39" spans="1:6">
      <c r="A39" s="159" t="str">
        <f t="shared" si="0"/>
        <v/>
      </c>
      <c r="B39" s="158"/>
      <c r="C39" s="157"/>
      <c r="D39" s="156" t="str">
        <f>C_R!AG36</f>
        <v/>
      </c>
      <c r="E39" s="155" t="str">
        <f>C_R!AH36</f>
        <v/>
      </c>
      <c r="F39" s="154" t="str">
        <f>C_R!AI36</f>
        <v/>
      </c>
    </row>
    <row r="40" spans="1:6">
      <c r="A40" s="159" t="str">
        <f t="shared" si="0"/>
        <v/>
      </c>
      <c r="B40" s="158"/>
      <c r="C40" s="157"/>
      <c r="D40" s="156" t="str">
        <f>C_R!AG37</f>
        <v/>
      </c>
      <c r="E40" s="155" t="str">
        <f>C_R!AH37</f>
        <v/>
      </c>
      <c r="F40" s="154" t="str">
        <f>C_R!AI37</f>
        <v/>
      </c>
    </row>
    <row r="41" spans="1:6">
      <c r="A41" s="159" t="str">
        <f t="shared" ref="A41:A67" si="1">IF(B41="","",A40+1)</f>
        <v/>
      </c>
      <c r="B41" s="158"/>
      <c r="C41" s="157"/>
      <c r="D41" s="156" t="str">
        <f>C_R!AG38</f>
        <v/>
      </c>
      <c r="E41" s="155" t="str">
        <f>C_R!AH38</f>
        <v/>
      </c>
      <c r="F41" s="154" t="str">
        <f>C_R!AI38</f>
        <v/>
      </c>
    </row>
    <row r="42" spans="1:6">
      <c r="A42" s="159" t="str">
        <f t="shared" si="1"/>
        <v/>
      </c>
      <c r="B42" s="158"/>
      <c r="C42" s="157"/>
      <c r="D42" s="156" t="str">
        <f>C_R!AG39</f>
        <v/>
      </c>
      <c r="E42" s="155" t="str">
        <f>C_R!AH39</f>
        <v/>
      </c>
      <c r="F42" s="154" t="str">
        <f>C_R!AI39</f>
        <v/>
      </c>
    </row>
    <row r="43" spans="1:6">
      <c r="A43" s="159" t="str">
        <f t="shared" si="1"/>
        <v/>
      </c>
      <c r="B43" s="158"/>
      <c r="C43" s="157"/>
      <c r="D43" s="156" t="str">
        <f>C_R!AG40</f>
        <v/>
      </c>
      <c r="E43" s="155" t="str">
        <f>C_R!AH40</f>
        <v/>
      </c>
      <c r="F43" s="154" t="str">
        <f>C_R!AI40</f>
        <v/>
      </c>
    </row>
    <row r="44" spans="1:6">
      <c r="A44" s="159" t="str">
        <f t="shared" si="1"/>
        <v/>
      </c>
      <c r="B44" s="158"/>
      <c r="C44" s="157"/>
      <c r="D44" s="156" t="str">
        <f>C_R!AG41</f>
        <v/>
      </c>
      <c r="E44" s="155" t="str">
        <f>C_R!AH41</f>
        <v/>
      </c>
      <c r="F44" s="154" t="str">
        <f>C_R!AI41</f>
        <v/>
      </c>
    </row>
    <row r="45" spans="1:6">
      <c r="A45" s="159" t="str">
        <f t="shared" si="1"/>
        <v/>
      </c>
      <c r="B45" s="158"/>
      <c r="C45" s="157"/>
      <c r="D45" s="156" t="str">
        <f>C_R!AG42</f>
        <v/>
      </c>
      <c r="E45" s="155" t="str">
        <f>C_R!AH42</f>
        <v/>
      </c>
      <c r="F45" s="154" t="str">
        <f>C_R!AI42</f>
        <v/>
      </c>
    </row>
    <row r="46" spans="1:6">
      <c r="A46" s="159" t="str">
        <f t="shared" si="1"/>
        <v/>
      </c>
      <c r="B46" s="158"/>
      <c r="C46" s="157"/>
      <c r="D46" s="156" t="str">
        <f>C_R!AG43</f>
        <v/>
      </c>
      <c r="E46" s="155" t="str">
        <f>C_R!AH43</f>
        <v/>
      </c>
      <c r="F46" s="154" t="str">
        <f>C_R!AI43</f>
        <v/>
      </c>
    </row>
    <row r="47" spans="1:6">
      <c r="A47" s="159" t="str">
        <f t="shared" si="1"/>
        <v/>
      </c>
      <c r="B47" s="158"/>
      <c r="C47" s="157"/>
      <c r="D47" s="156" t="str">
        <f>C_R!AG44</f>
        <v/>
      </c>
      <c r="E47" s="155" t="str">
        <f>C_R!AH44</f>
        <v/>
      </c>
      <c r="F47" s="154" t="str">
        <f>C_R!AI44</f>
        <v/>
      </c>
    </row>
    <row r="48" spans="1:6">
      <c r="A48" s="159" t="str">
        <f t="shared" si="1"/>
        <v/>
      </c>
      <c r="B48" s="158"/>
      <c r="C48" s="157"/>
      <c r="D48" s="156" t="str">
        <f>C_R!AG45</f>
        <v/>
      </c>
      <c r="E48" s="155" t="str">
        <f>C_R!AH45</f>
        <v/>
      </c>
      <c r="F48" s="154" t="str">
        <f>C_R!AI45</f>
        <v/>
      </c>
    </row>
    <row r="49" spans="1:6">
      <c r="A49" s="159" t="str">
        <f t="shared" si="1"/>
        <v/>
      </c>
      <c r="B49" s="158"/>
      <c r="C49" s="157"/>
      <c r="D49" s="156" t="str">
        <f>C_R!AG46</f>
        <v/>
      </c>
      <c r="E49" s="155" t="str">
        <f>C_R!AH46</f>
        <v/>
      </c>
      <c r="F49" s="154" t="str">
        <f>C_R!AI46</f>
        <v/>
      </c>
    </row>
    <row r="50" spans="1:6">
      <c r="A50" s="159" t="str">
        <f t="shared" si="1"/>
        <v/>
      </c>
      <c r="B50" s="158"/>
      <c r="C50" s="157"/>
      <c r="D50" s="156" t="str">
        <f>C_R!AG47</f>
        <v/>
      </c>
      <c r="E50" s="155" t="str">
        <f>C_R!AH47</f>
        <v/>
      </c>
      <c r="F50" s="154" t="str">
        <f>C_R!AI47</f>
        <v/>
      </c>
    </row>
    <row r="51" spans="1:6">
      <c r="A51" s="159" t="str">
        <f t="shared" si="1"/>
        <v/>
      </c>
      <c r="B51" s="158"/>
      <c r="C51" s="157"/>
      <c r="D51" s="156" t="str">
        <f>C_R!AG48</f>
        <v/>
      </c>
      <c r="E51" s="155" t="str">
        <f>C_R!AH48</f>
        <v/>
      </c>
      <c r="F51" s="154" t="str">
        <f>C_R!AI48</f>
        <v/>
      </c>
    </row>
    <row r="52" spans="1:6">
      <c r="A52" s="159" t="str">
        <f t="shared" si="1"/>
        <v/>
      </c>
      <c r="B52" s="158"/>
      <c r="C52" s="157"/>
      <c r="D52" s="156" t="str">
        <f>C_R!AG49</f>
        <v/>
      </c>
      <c r="E52" s="155" t="str">
        <f>C_R!AH49</f>
        <v/>
      </c>
      <c r="F52" s="154" t="str">
        <f>C_R!AI49</f>
        <v/>
      </c>
    </row>
    <row r="53" spans="1:6">
      <c r="A53" s="159" t="str">
        <f t="shared" si="1"/>
        <v/>
      </c>
      <c r="B53" s="158"/>
      <c r="C53" s="157"/>
      <c r="D53" s="156" t="str">
        <f>C_R!AG50</f>
        <v/>
      </c>
      <c r="E53" s="155" t="str">
        <f>C_R!AH50</f>
        <v/>
      </c>
      <c r="F53" s="154" t="str">
        <f>C_R!AI50</f>
        <v/>
      </c>
    </row>
    <row r="54" spans="1:6">
      <c r="A54" s="159" t="str">
        <f t="shared" si="1"/>
        <v/>
      </c>
      <c r="B54" s="158"/>
      <c r="C54" s="157"/>
      <c r="D54" s="156" t="str">
        <f>C_R!AG51</f>
        <v/>
      </c>
      <c r="E54" s="155" t="str">
        <f>C_R!AH51</f>
        <v/>
      </c>
      <c r="F54" s="154" t="str">
        <f>C_R!AI51</f>
        <v/>
      </c>
    </row>
    <row r="55" spans="1:6">
      <c r="A55" s="159" t="str">
        <f t="shared" si="1"/>
        <v/>
      </c>
      <c r="B55" s="158"/>
      <c r="C55" s="157"/>
      <c r="D55" s="156" t="str">
        <f>C_R!AG52</f>
        <v/>
      </c>
      <c r="E55" s="155" t="str">
        <f>C_R!AH52</f>
        <v/>
      </c>
      <c r="F55" s="154" t="str">
        <f>C_R!AI52</f>
        <v/>
      </c>
    </row>
    <row r="56" spans="1:6">
      <c r="A56" s="159" t="str">
        <f t="shared" si="1"/>
        <v/>
      </c>
      <c r="B56" s="158"/>
      <c r="C56" s="157"/>
      <c r="D56" s="156" t="str">
        <f>C_R!AG53</f>
        <v/>
      </c>
      <c r="E56" s="155" t="str">
        <f>C_R!AH53</f>
        <v/>
      </c>
      <c r="F56" s="154" t="str">
        <f>C_R!AI53</f>
        <v/>
      </c>
    </row>
    <row r="57" spans="1:6">
      <c r="A57" s="159" t="str">
        <f t="shared" si="1"/>
        <v/>
      </c>
      <c r="B57" s="158"/>
      <c r="C57" s="157"/>
      <c r="D57" s="156" t="str">
        <f>C_R!AG54</f>
        <v/>
      </c>
      <c r="E57" s="155" t="str">
        <f>C_R!AH54</f>
        <v/>
      </c>
      <c r="F57" s="154" t="str">
        <f>C_R!AI54</f>
        <v/>
      </c>
    </row>
    <row r="58" spans="1:6">
      <c r="A58" s="159" t="str">
        <f t="shared" si="1"/>
        <v/>
      </c>
      <c r="B58" s="158"/>
      <c r="C58" s="157"/>
      <c r="D58" s="156" t="str">
        <f>C_R!AG55</f>
        <v/>
      </c>
      <c r="E58" s="155" t="str">
        <f>C_R!AH55</f>
        <v/>
      </c>
      <c r="F58" s="154" t="str">
        <f>C_R!AI55</f>
        <v/>
      </c>
    </row>
    <row r="59" spans="1:6">
      <c r="A59" s="159" t="str">
        <f t="shared" si="1"/>
        <v/>
      </c>
      <c r="B59" s="158"/>
      <c r="C59" s="157"/>
      <c r="D59" s="156" t="str">
        <f>C_R!AG56</f>
        <v/>
      </c>
      <c r="E59" s="155" t="str">
        <f>C_R!AH56</f>
        <v/>
      </c>
      <c r="F59" s="154" t="str">
        <f>C_R!AI56</f>
        <v/>
      </c>
    </row>
    <row r="60" spans="1:6">
      <c r="A60" s="159" t="str">
        <f t="shared" si="1"/>
        <v/>
      </c>
      <c r="B60" s="158"/>
      <c r="C60" s="157"/>
      <c r="D60" s="156" t="str">
        <f>C_R!AG57</f>
        <v/>
      </c>
      <c r="E60" s="155" t="str">
        <f>C_R!AH57</f>
        <v/>
      </c>
      <c r="F60" s="154" t="str">
        <f>C_R!AI57</f>
        <v/>
      </c>
    </row>
    <row r="61" spans="1:6">
      <c r="A61" s="159" t="str">
        <f t="shared" si="1"/>
        <v/>
      </c>
      <c r="B61" s="158"/>
      <c r="C61" s="157"/>
      <c r="D61" s="156" t="str">
        <f>C_R!AG58</f>
        <v/>
      </c>
      <c r="E61" s="155" t="str">
        <f>C_R!AH58</f>
        <v/>
      </c>
      <c r="F61" s="154" t="str">
        <f>C_R!AI58</f>
        <v/>
      </c>
    </row>
    <row r="62" spans="1:6">
      <c r="A62" s="159" t="str">
        <f t="shared" si="1"/>
        <v/>
      </c>
      <c r="B62" s="158"/>
      <c r="C62" s="157"/>
      <c r="D62" s="156" t="str">
        <f>C_R!AG59</f>
        <v/>
      </c>
      <c r="E62" s="155" t="str">
        <f>C_R!AH59</f>
        <v/>
      </c>
      <c r="F62" s="154" t="str">
        <f>C_R!AI59</f>
        <v/>
      </c>
    </row>
    <row r="63" spans="1:6">
      <c r="A63" s="159" t="str">
        <f t="shared" si="1"/>
        <v/>
      </c>
      <c r="B63" s="158"/>
      <c r="C63" s="157"/>
      <c r="D63" s="156" t="str">
        <f>C_R!AG60</f>
        <v/>
      </c>
      <c r="E63" s="155" t="str">
        <f>C_R!AH60</f>
        <v/>
      </c>
      <c r="F63" s="154" t="str">
        <f>C_R!AI60</f>
        <v/>
      </c>
    </row>
    <row r="64" spans="1:6">
      <c r="A64" s="159" t="str">
        <f t="shared" si="1"/>
        <v/>
      </c>
      <c r="B64" s="158"/>
      <c r="C64" s="157"/>
      <c r="D64" s="156" t="str">
        <f>C_R!AG61</f>
        <v/>
      </c>
      <c r="E64" s="155" t="str">
        <f>C_R!AH61</f>
        <v/>
      </c>
      <c r="F64" s="154" t="str">
        <f>C_R!AI61</f>
        <v/>
      </c>
    </row>
    <row r="65" spans="1:6">
      <c r="A65" s="159" t="str">
        <f t="shared" si="1"/>
        <v/>
      </c>
      <c r="B65" s="158"/>
      <c r="C65" s="157"/>
      <c r="D65" s="156" t="str">
        <f>C_R!AG62</f>
        <v/>
      </c>
      <c r="E65" s="155" t="str">
        <f>C_R!AH62</f>
        <v/>
      </c>
      <c r="F65" s="154" t="str">
        <f>C_R!AI62</f>
        <v/>
      </c>
    </row>
    <row r="66" spans="1:6">
      <c r="A66" s="159" t="str">
        <f t="shared" si="1"/>
        <v/>
      </c>
      <c r="B66" s="158"/>
      <c r="C66" s="157"/>
      <c r="D66" s="156" t="str">
        <f>C_R!AG63</f>
        <v/>
      </c>
      <c r="E66" s="155" t="str">
        <f>C_R!AH63</f>
        <v/>
      </c>
      <c r="F66" s="154" t="str">
        <f>C_R!AI63</f>
        <v/>
      </c>
    </row>
    <row r="67" spans="1:6" ht="13.5" thickBot="1">
      <c r="A67" s="153" t="str">
        <f t="shared" si="1"/>
        <v/>
      </c>
      <c r="B67" s="152"/>
      <c r="C67" s="151"/>
      <c r="D67" s="150"/>
      <c r="E67" s="149"/>
      <c r="F67" s="148"/>
    </row>
  </sheetData>
  <sheetProtection password="CC15" sheet="1" formatCells="0" formatColumns="0" formatRows="0" insertColumns="0" insertRows="0" insertHyperlinks="0" deleteColumns="0" deleteRows="0" sort="0" autoFilter="0" pivotTables="0"/>
  <protectedRanges>
    <protectedRange sqref="D2:F5" name="Range1"/>
    <protectedRange sqref="B8:C67" name="Range2"/>
  </protectedRanges>
  <mergeCells count="8">
    <mergeCell ref="A5:C5"/>
    <mergeCell ref="A2:C2"/>
    <mergeCell ref="A3:C3"/>
    <mergeCell ref="A4:C4"/>
    <mergeCell ref="D2:F2"/>
    <mergeCell ref="D3:F3"/>
    <mergeCell ref="D4:F4"/>
    <mergeCell ref="D5:F5"/>
  </mergeCells>
  <dataValidations count="3">
    <dataValidation type="list" allowBlank="1" showInputMessage="1" showErrorMessage="1" sqref="D4:D5">
      <formula1>YES</formula1>
    </dataValidation>
    <dataValidation type="list" allowBlank="1" showInputMessage="1" showErrorMessage="1" sqref="D3">
      <formula1>TC</formula1>
    </dataValidation>
    <dataValidation type="list" allowBlank="1" showInputMessage="1" showErrorMessage="1" sqref="D2">
      <formula1>SIMPLE</formula1>
    </dataValidation>
  </dataValidations>
  <printOptions horizontalCentered="1" verticalCentered="1"/>
  <pageMargins left="0.70866141732283472" right="0.70866141732283472" top="0.15748031496062992" bottom="0.15748031496062992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15</vt:i4>
      </vt:variant>
    </vt:vector>
  </HeadingPairs>
  <TitlesOfParts>
    <vt:vector size="21" baseType="lpstr">
      <vt:lpstr>GREAT CIRCLE</vt:lpstr>
      <vt:lpstr>GC</vt:lpstr>
      <vt:lpstr>G</vt:lpstr>
      <vt:lpstr>C_R</vt:lpstr>
      <vt:lpstr>G_1</vt:lpstr>
      <vt:lpstr>RHUMBLINE SAILING</vt:lpstr>
      <vt:lpstr>LAT</vt:lpstr>
      <vt:lpstr>NOO</vt:lpstr>
      <vt:lpstr>G!Print_Area</vt:lpstr>
      <vt:lpstr>G_1!Print_Area</vt:lpstr>
      <vt:lpstr>'GREAT CIRCLE'!Print_Area</vt:lpstr>
      <vt:lpstr>'RHUMBLINE SAILING'!Print_Area</vt:lpstr>
      <vt:lpstr>C_R!SIMPLE</vt:lpstr>
      <vt:lpstr>'RHUMBLINE SAILING'!SIMPLE</vt:lpstr>
      <vt:lpstr>SIMPLE</vt:lpstr>
      <vt:lpstr>C_R!TC</vt:lpstr>
      <vt:lpstr>'RHUMBLINE SAILING'!TC</vt:lpstr>
      <vt:lpstr>TC</vt:lpstr>
      <vt:lpstr>C_R!YES</vt:lpstr>
      <vt:lpstr>'RHUMBLINE SAILING'!YES</vt:lpstr>
      <vt:lpstr>YES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MARONI</dc:creator>
  <cp:lastModifiedBy>next</cp:lastModifiedBy>
  <cp:lastPrinted>2015-11-21T01:56:12Z</cp:lastPrinted>
  <dcterms:created xsi:type="dcterms:W3CDTF">2015-07-27T20:43:55Z</dcterms:created>
  <dcterms:modified xsi:type="dcterms:W3CDTF">2016-02-21T21:51:04Z</dcterms:modified>
</cp:coreProperties>
</file>